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9.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dnv.sharepoint.com/teams/GIE-DNV-GL-Import-Renewable-Energy/Shared Documents/General/"/>
    </mc:Choice>
  </mc:AlternateContent>
  <xr:revisionPtr revIDLastSave="0" documentId="8_{783B23F0-3081-49C0-8C34-4B10FEFBE97E}" xr6:coauthVersionLast="45" xr6:coauthVersionMax="45" xr10:uidLastSave="{00000000-0000-0000-0000-000000000000}"/>
  <bookViews>
    <workbookView xWindow="-120" yWindow="-120" windowWidth="29040" windowHeight="15840" xr2:uid="{2491C24C-575F-4200-B19C-21DF41331AEA}"/>
  </bookViews>
  <sheets>
    <sheet name="Main" sheetId="12" r:id="rId1"/>
    <sheet name="Overview" sheetId="1" r:id="rId2"/>
    <sheet name="Conversion factors" sheetId="3" r:id="rId3"/>
    <sheet name="0. Energy Production" sheetId="11" r:id="rId4"/>
    <sheet name="1. Liquefaction" sheetId="4" r:id="rId5"/>
    <sheet name="2. Regasification" sheetId="5" r:id="rId6"/>
    <sheet name="3. Conversion" sheetId="6" r:id="rId7"/>
    <sheet name="4. Storage" sheetId="7" r:id="rId8"/>
    <sheet name="5. Shipping" sheetId="8" r:id="rId9"/>
    <sheet name="6. Transport" sheetId="9" r:id="rId10"/>
    <sheet name="7. CCUS" sheetId="10" r:id="rId11"/>
  </sheets>
  <definedNames>
    <definedName name="GBPEUR">'Conversion factors'!$C$8</definedName>
    <definedName name="GJ2MWh">'Conversion factors'!$C$18</definedName>
    <definedName name="NOKEUR">'Conversion factors'!$C$10</definedName>
    <definedName name="USDEUR">'Conversion factors'!$C$9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6" l="1"/>
  <c r="B26" i="6"/>
  <c r="F31" i="3"/>
  <c r="G31" i="3"/>
  <c r="F38" i="3"/>
  <c r="G38" i="3"/>
  <c r="F37" i="3"/>
  <c r="G27" i="3"/>
  <c r="F27" i="3"/>
  <c r="F29" i="3"/>
  <c r="C45" i="3" l="1"/>
  <c r="G29" i="3"/>
  <c r="G30" i="3"/>
  <c r="F30" i="3"/>
  <c r="F36" i="3"/>
  <c r="C48" i="3"/>
  <c r="D29" i="6"/>
  <c r="D28" i="6"/>
  <c r="D27" i="6"/>
  <c r="B25" i="6"/>
  <c r="H20" i="8" l="1"/>
  <c r="H19" i="8"/>
  <c r="H18" i="8"/>
  <c r="D7" i="1" l="1"/>
  <c r="D8" i="1" s="1"/>
  <c r="D9" i="1" s="1"/>
  <c r="D10" i="1" s="1"/>
  <c r="D11" i="1" s="1"/>
  <c r="D12" i="1" s="1"/>
  <c r="D13" i="1" s="1"/>
  <c r="D14" i="1" s="1"/>
  <c r="D15" i="1" s="1"/>
  <c r="D16" i="1" s="1"/>
  <c r="D17" i="1" s="1"/>
  <c r="D18" i="1" s="1"/>
  <c r="D19" i="1" s="1"/>
  <c r="D20" i="1" s="1"/>
  <c r="D21" i="1" s="1"/>
  <c r="D22" i="1" s="1"/>
  <c r="D23" i="1" s="1"/>
  <c r="D24" i="1" s="1"/>
  <c r="D6" i="1"/>
  <c r="B30" i="7"/>
  <c r="D33" i="8"/>
  <c r="H98" i="6"/>
  <c r="H97" i="6"/>
  <c r="H96" i="6"/>
  <c r="B94" i="6"/>
  <c r="B93" i="6"/>
  <c r="B79" i="6"/>
  <c r="B78" i="6"/>
  <c r="B87" i="6"/>
  <c r="B86" i="6"/>
  <c r="D25" i="1" l="1"/>
  <c r="D26" i="1" s="1"/>
  <c r="D27" i="1" s="1"/>
  <c r="D28" i="1" s="1"/>
  <c r="D29" i="1" s="1"/>
  <c r="D30" i="1" s="1"/>
  <c r="D31" i="1" s="1"/>
  <c r="D32" i="1" s="1"/>
  <c r="D33" i="1" s="1"/>
  <c r="D34" i="1" s="1"/>
  <c r="D35" i="1" s="1"/>
  <c r="B68" i="6" l="1"/>
  <c r="B67" i="6"/>
  <c r="D75" i="6"/>
  <c r="D74" i="6"/>
  <c r="B66" i="6"/>
  <c r="F63" i="6"/>
  <c r="F62" i="6"/>
  <c r="B32" i="11"/>
  <c r="B30" i="11"/>
  <c r="F30" i="11" s="1"/>
  <c r="B31" i="11"/>
  <c r="F31" i="11" s="1"/>
  <c r="B25" i="11" l="1"/>
  <c r="B26" i="11"/>
  <c r="F26" i="11" s="1"/>
  <c r="B24" i="11"/>
  <c r="F24" i="11" s="1"/>
  <c r="F19" i="11"/>
  <c r="F20" i="11"/>
  <c r="F7" i="11"/>
  <c r="F6" i="11"/>
  <c r="B6" i="11" l="1"/>
  <c r="B7" i="11"/>
  <c r="F22" i="10"/>
  <c r="F21" i="10"/>
  <c r="F20" i="10"/>
  <c r="F19" i="10"/>
  <c r="F18" i="10"/>
  <c r="F17" i="10"/>
  <c r="B22" i="10"/>
  <c r="B21" i="10"/>
  <c r="B20" i="10"/>
  <c r="B19" i="10"/>
  <c r="B18" i="10"/>
  <c r="B17" i="10"/>
  <c r="F6" i="10"/>
  <c r="B7" i="7"/>
  <c r="H11" i="7"/>
  <c r="F16" i="10"/>
  <c r="F15" i="10"/>
  <c r="F25" i="7"/>
  <c r="F24" i="7"/>
  <c r="F17" i="7"/>
  <c r="F16" i="7"/>
  <c r="D30" i="8"/>
  <c r="D29" i="8"/>
  <c r="D28" i="8"/>
  <c r="D20" i="8"/>
  <c r="D19" i="8"/>
  <c r="D18" i="8"/>
  <c r="D11" i="8"/>
  <c r="D10" i="8"/>
  <c r="D9" i="8"/>
  <c r="B27" i="8"/>
  <c r="B26" i="8"/>
  <c r="B25" i="8"/>
  <c r="B21" i="8"/>
  <c r="B20" i="8"/>
  <c r="B19" i="8"/>
  <c r="B18" i="8"/>
  <c r="B16" i="8"/>
  <c r="B8" i="8"/>
  <c r="B7" i="8"/>
  <c r="B6" i="8"/>
  <c r="B46" i="6"/>
  <c r="B47" i="6"/>
  <c r="F56" i="6"/>
  <c r="B45" i="6"/>
  <c r="B43" i="6"/>
  <c r="D39" i="6"/>
  <c r="B11" i="5"/>
  <c r="B9" i="5"/>
  <c r="D8" i="5"/>
  <c r="D6" i="5"/>
  <c r="B15" i="5"/>
  <c r="F13" i="5"/>
  <c r="B12" i="4"/>
  <c r="B14" i="4"/>
  <c r="B13" i="4"/>
  <c r="B11" i="4"/>
  <c r="B10" i="4"/>
  <c r="B9" i="4"/>
  <c r="D49" i="3"/>
  <c r="C49" i="3" s="1"/>
  <c r="B10" i="5" l="1"/>
  <c r="D7" i="5"/>
  <c r="B44" i="6"/>
  <c r="B8" i="4" l="1"/>
  <c r="B7" i="4"/>
  <c r="B6" i="4"/>
  <c r="B51" i="10" l="1"/>
  <c r="B50" i="10"/>
  <c r="B49" i="10"/>
  <c r="B48" i="10"/>
  <c r="B47" i="10"/>
  <c r="B46" i="10"/>
  <c r="B45" i="10"/>
  <c r="B44" i="10"/>
  <c r="B43" i="10"/>
  <c r="B42" i="10"/>
  <c r="B41" i="10"/>
  <c r="B40" i="10"/>
  <c r="B39" i="10"/>
  <c r="B38" i="10"/>
  <c r="B37" i="10"/>
  <c r="B36" i="10"/>
  <c r="B35" i="10"/>
  <c r="B34" i="10"/>
  <c r="H12" i="6"/>
  <c r="B18" i="7" l="1"/>
  <c r="C47" i="3"/>
  <c r="B17" i="7" l="1"/>
  <c r="D26" i="3" l="1"/>
  <c r="G26" i="3" s="1"/>
  <c r="C26" i="3"/>
  <c r="F26" i="3" s="1"/>
  <c r="D25" i="3"/>
  <c r="G25" i="3" s="1"/>
  <c r="C25" i="3"/>
  <c r="F25" i="3" s="1"/>
  <c r="D28" i="3"/>
  <c r="G28" i="3" s="1"/>
  <c r="C28" i="3"/>
  <c r="F28" i="3" s="1"/>
  <c r="C44" i="3"/>
  <c r="C46" i="3"/>
  <c r="C43" i="3"/>
  <c r="B16" i="7"/>
  <c r="B26" i="10" l="1"/>
  <c r="B27" i="10"/>
  <c r="B25" i="10"/>
  <c r="B16" i="10"/>
  <c r="B15" i="10"/>
  <c r="C18" i="3" l="1"/>
  <c r="B10" i="10"/>
  <c r="B9" i="10"/>
  <c r="B8" i="10"/>
  <c r="G36" i="3"/>
  <c r="G39" i="3"/>
  <c r="F39" i="3"/>
  <c r="G37" i="3"/>
  <c r="D45" i="6" l="1"/>
  <c r="D43" i="6"/>
  <c r="B6" i="10"/>
  <c r="D56" i="6"/>
  <c r="D55" i="6"/>
  <c r="B56" i="6"/>
  <c r="B55" i="6"/>
  <c r="B25" i="7"/>
  <c r="B24" i="7"/>
  <c r="D29" i="7"/>
  <c r="B32" i="8"/>
  <c r="B29" i="7"/>
  <c r="D30" i="7"/>
  <c r="B33" i="8"/>
  <c r="B36" i="6"/>
  <c r="B33" i="6"/>
  <c r="B32" i="6" s="1"/>
  <c r="D33" i="6"/>
  <c r="B35" i="6"/>
  <c r="B37" i="6"/>
  <c r="D87" i="6"/>
  <c r="H91" i="6"/>
  <c r="H83" i="6"/>
  <c r="H82" i="6"/>
  <c r="H89" i="6"/>
  <c r="H80" i="6"/>
  <c r="D86" i="6"/>
  <c r="H90" i="6"/>
  <c r="D94" i="6"/>
  <c r="D79" i="6"/>
  <c r="H81" i="6"/>
  <c r="H88" i="6"/>
  <c r="D93" i="6"/>
  <c r="D78" i="6"/>
  <c r="D97" i="6"/>
  <c r="D98" i="6"/>
  <c r="D96" i="6"/>
  <c r="B11" i="10"/>
  <c r="B12" i="7"/>
  <c r="B19" i="9"/>
  <c r="D14" i="9"/>
  <c r="B9" i="7"/>
  <c r="H10" i="6"/>
  <c r="D9" i="6"/>
  <c r="H17" i="6"/>
  <c r="D16" i="6"/>
  <c r="H13" i="6"/>
  <c r="D18" i="4"/>
  <c r="D20" i="4"/>
  <c r="B7" i="10"/>
  <c r="D17" i="9"/>
  <c r="D13" i="9"/>
  <c r="D10" i="6"/>
  <c r="H18" i="6"/>
  <c r="D17" i="6"/>
  <c r="H15" i="6"/>
  <c r="B14" i="6"/>
  <c r="D19" i="4"/>
  <c r="B21" i="9"/>
  <c r="D16" i="9"/>
  <c r="D12" i="9"/>
  <c r="H11" i="6"/>
  <c r="B10" i="6"/>
  <c r="D18" i="6"/>
  <c r="B17" i="6"/>
  <c r="D15" i="6"/>
  <c r="D14" i="6"/>
  <c r="B20" i="9"/>
  <c r="D15" i="9"/>
  <c r="D11" i="9"/>
  <c r="D11" i="6"/>
  <c r="H9" i="6"/>
  <c r="B18" i="6"/>
  <c r="H16" i="6"/>
  <c r="H14" i="6"/>
  <c r="D13" i="6"/>
  <c r="B16" i="6"/>
  <c r="B9" i="6"/>
  <c r="B6" i="6"/>
  <c r="F6" i="6" s="1"/>
  <c r="B12" i="6"/>
  <c r="B15" i="6"/>
  <c r="B13" i="6"/>
  <c r="B11" i="6"/>
  <c r="B11" i="7"/>
  <c r="B8" i="7"/>
  <c r="B10" i="7"/>
  <c r="B6" i="7"/>
  <c r="B15" i="7"/>
  <c r="F15" i="7" s="1"/>
  <c r="B34" i="6"/>
  <c r="B27" i="6" l="1"/>
  <c r="B7" i="6"/>
  <c r="F7" i="6" s="1"/>
  <c r="B8" i="6"/>
  <c r="F8" i="6" s="1"/>
  <c r="H7" i="6"/>
  <c r="H8" i="6"/>
  <c r="D4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Vos, Maurice</author>
  </authors>
  <commentList>
    <comment ref="F6" authorId="0" shapeId="0" xr:uid="{10EB68BC-5AAA-49F9-97C1-B3000D39428B}">
      <text>
        <r>
          <rPr>
            <sz val="9"/>
            <color indexed="81"/>
            <rFont val="Tahoma"/>
            <family val="2"/>
          </rPr>
          <t>329976.8+513271 USD/yr</t>
        </r>
      </text>
    </comment>
    <comment ref="F7" authorId="0" shapeId="0" xr:uid="{837E89E5-4C79-4048-95BE-3F5842710842}">
      <text>
        <r>
          <rPr>
            <sz val="9"/>
            <color indexed="81"/>
            <rFont val="Tahoma"/>
            <family val="2"/>
          </rPr>
          <t>3768000 USD/yr</t>
        </r>
      </text>
    </comment>
    <comment ref="H7" authorId="0" shapeId="0" xr:uid="{92A23AD0-4452-4185-AD6F-1B923F89B562}">
      <text>
        <r>
          <rPr>
            <sz val="9"/>
            <color indexed="81"/>
            <rFont val="Tahoma"/>
            <family val="2"/>
          </rPr>
          <t>1.6 kWh/Nm3</t>
        </r>
      </text>
    </comment>
    <comment ref="F8" authorId="0" shapeId="0" xr:uid="{EC3C680D-F514-4671-839B-3A6E1F279E95}">
      <text>
        <r>
          <rPr>
            <sz val="9"/>
            <color indexed="81"/>
            <rFont val="Tahoma"/>
            <family val="2"/>
          </rPr>
          <t>3768000 USD/yr</t>
        </r>
      </text>
    </comment>
    <comment ref="H8" authorId="0" shapeId="0" xr:uid="{3765C3BB-7A71-4B9F-9981-673A8C037EFB}">
      <text>
        <r>
          <rPr>
            <sz val="9"/>
            <color indexed="81"/>
            <rFont val="Tahoma"/>
            <family val="2"/>
          </rPr>
          <t>1.6 kWh/Nm3</t>
        </r>
      </text>
    </comment>
    <comment ref="B9" authorId="0" shapeId="0" xr:uid="{1AB4933A-B774-48BA-B2F5-D3F686472EF9}">
      <text>
        <r>
          <rPr>
            <sz val="9"/>
            <color indexed="81"/>
            <rFont val="Tahoma"/>
            <family val="2"/>
          </rPr>
          <t>3,331 EUR/(kg/h H2)</t>
        </r>
      </text>
    </comment>
    <comment ref="D9" authorId="0" shapeId="0" xr:uid="{494694FD-14CF-46A3-905A-69C999C6D4BC}">
      <text>
        <r>
          <rPr>
            <sz val="9"/>
            <color indexed="81"/>
            <rFont val="Tahoma"/>
            <family val="2"/>
          </rPr>
          <t>Electricity:  11.1 kWh/kg_H2</t>
        </r>
      </text>
    </comment>
    <comment ref="H9" authorId="0" shapeId="0" xr:uid="{5DA4694A-2D99-4C31-8215-501EE1E0D5AB}">
      <text>
        <r>
          <rPr>
            <sz val="9"/>
            <color indexed="81"/>
            <rFont val="Tahoma"/>
            <family val="2"/>
          </rPr>
          <t xml:space="preserve">Methane:  242.3 MJ/kg_H2 </t>
        </r>
      </text>
    </comment>
    <comment ref="B10" authorId="0" shapeId="0" xr:uid="{2FE8065D-DD86-4B97-87CD-3DCD8DC946B8}">
      <text>
        <r>
          <rPr>
            <sz val="9"/>
            <color indexed="81"/>
            <rFont val="Tahoma"/>
            <family val="2"/>
          </rPr>
          <t>25,336 EUR/(kg/h H2)</t>
        </r>
      </text>
    </comment>
    <comment ref="D10" authorId="0" shapeId="0" xr:uid="{A76E07C8-654B-4F6D-9000-872D34D602B2}">
      <text>
        <r>
          <rPr>
            <sz val="9"/>
            <color indexed="81"/>
            <rFont val="Tahoma"/>
            <family val="2"/>
          </rPr>
          <t>Electricity:  12.2 kWh/kg_H2</t>
        </r>
      </text>
    </comment>
    <comment ref="H10" authorId="0" shapeId="0" xr:uid="{D73E1D6C-B9C3-4962-822F-CD05F42B0C5F}">
      <text>
        <r>
          <rPr>
            <sz val="9"/>
            <color indexed="81"/>
            <rFont val="Tahoma"/>
            <family val="2"/>
          </rPr>
          <t xml:space="preserve">Methane:  222.1 MJ/kg_H2 
</t>
        </r>
      </text>
    </comment>
    <comment ref="B11" authorId="0" shapeId="0" xr:uid="{4562FC83-D8D3-48A4-B361-19B2C7A5536A}">
      <text>
        <r>
          <rPr>
            <sz val="9"/>
            <color indexed="81"/>
            <rFont val="Tahoma"/>
            <family val="2"/>
          </rPr>
          <t>151,914 EUR/(kg/h H2)</t>
        </r>
      </text>
    </comment>
    <comment ref="D11" authorId="0" shapeId="0" xr:uid="{36B43533-2911-4AA5-A617-5B218D84F6BB}">
      <text>
        <r>
          <rPr>
            <sz val="9"/>
            <color indexed="81"/>
            <rFont val="Tahoma"/>
            <family val="2"/>
          </rPr>
          <t>Electricity:  16.1 kWh/kg_H2</t>
        </r>
      </text>
    </comment>
    <comment ref="H11" authorId="0" shapeId="0" xr:uid="{3A0846FC-6230-4F5F-A9ED-654C9D39D8F5}">
      <text>
        <r>
          <rPr>
            <sz val="9"/>
            <color indexed="81"/>
            <rFont val="Tahoma"/>
            <family val="2"/>
          </rPr>
          <t xml:space="preserve">Methane:  304.8 MJ/kg_H2 </t>
        </r>
      </text>
    </comment>
    <comment ref="H12" authorId="0" shapeId="0" xr:uid="{A7C22523-469B-4FF3-9025-A3C78CF8053D}">
      <text>
        <r>
          <rPr>
            <sz val="9"/>
            <color indexed="81"/>
            <rFont val="Tahoma"/>
            <family val="2"/>
          </rPr>
          <t>2.05 PJ/PJ_H2 (LHV)</t>
        </r>
      </text>
    </comment>
    <comment ref="B13" authorId="0" shapeId="0" xr:uid="{3791DC60-E8BB-48BF-AB92-DF922CC96BC7}">
      <text>
        <r>
          <rPr>
            <sz val="9"/>
            <color indexed="81"/>
            <rFont val="Tahoma"/>
            <family val="2"/>
          </rPr>
          <t>23,233 EUR/(kg/h H2)</t>
        </r>
      </text>
    </comment>
    <comment ref="D13" authorId="0" shapeId="0" xr:uid="{13602CB3-916A-46EC-BFE3-A5C214D7BC08}">
      <text>
        <r>
          <rPr>
            <sz val="9"/>
            <color indexed="81"/>
            <rFont val="Tahoma"/>
            <family val="2"/>
          </rPr>
          <t>Heat supply
Methane:  252.6 MJ/kg_H2 - 222.1 MJ/kg_H2
Electricity:  0.3 kWh/kg_H2</t>
        </r>
      </text>
    </comment>
    <comment ref="H13" authorId="0" shapeId="0" xr:uid="{D86A24C7-AC9D-4840-AF34-EB2F97403DA7}">
      <text>
        <r>
          <rPr>
            <sz val="9"/>
            <color indexed="81"/>
            <rFont val="Tahoma"/>
            <family val="2"/>
          </rPr>
          <t xml:space="preserve">Methane:  222.1 MJ/kg_H2 (not for heat supply).
</t>
        </r>
      </text>
    </comment>
    <comment ref="B14" authorId="0" shapeId="0" xr:uid="{6A12F3DE-8869-4B57-9882-3604FC8A6B71}">
      <text>
        <r>
          <rPr>
            <sz val="9"/>
            <color indexed="81"/>
            <rFont val="Tahoma"/>
            <family val="2"/>
          </rPr>
          <t>26,487 EUR/(kg/h H2)</t>
        </r>
      </text>
    </comment>
    <comment ref="D14" authorId="0" shapeId="0" xr:uid="{E598A38A-4A24-4C70-8E12-D5B4736611DE}">
      <text>
        <r>
          <rPr>
            <sz val="9"/>
            <color indexed="81"/>
            <rFont val="Tahoma"/>
            <family val="2"/>
          </rPr>
          <t>Electricity:  14.3 kWh/kg_H2 for heat supply.</t>
        </r>
      </text>
    </comment>
    <comment ref="H14" authorId="0" shapeId="0" xr:uid="{E6AC284A-DF12-4133-8A17-0AE840967BFB}">
      <text>
        <r>
          <rPr>
            <sz val="9"/>
            <color indexed="81"/>
            <rFont val="Tahoma"/>
            <family val="2"/>
          </rPr>
          <t xml:space="preserve">Methane:  222.1 MJ/kg_H2 (not for heat supply).
</t>
        </r>
      </text>
    </comment>
    <comment ref="B15" authorId="0" shapeId="0" xr:uid="{D66CAB86-0026-4FAA-83A7-D86DE5A26385}">
      <text>
        <r>
          <rPr>
            <sz val="9"/>
            <color indexed="81"/>
            <rFont val="Tahoma"/>
            <family val="2"/>
          </rPr>
          <t>30,634 EUR/(kg/h H2)</t>
        </r>
      </text>
    </comment>
    <comment ref="D15" authorId="0" shapeId="0" xr:uid="{3262D17B-FF1F-48F5-BD6D-01D56876A3CE}">
      <text>
        <r>
          <rPr>
            <sz val="9"/>
            <color indexed="81"/>
            <rFont val="Tahoma"/>
            <family val="2"/>
          </rPr>
          <t>Methane:  272.7 MJ/kg_H2 
Electricity:  -0.5 kWh/kg_H2
Assumption: Methane conversion close to theoretical minimum of 222.1 MJ/kg_H2. Remainder used to supply heat.</t>
        </r>
      </text>
    </comment>
    <comment ref="H15" authorId="0" shapeId="0" xr:uid="{60CDBED4-FE97-4839-9615-A39974FE3F93}">
      <text>
        <r>
          <rPr>
            <sz val="9"/>
            <color indexed="81"/>
            <rFont val="Tahoma"/>
            <family val="2"/>
          </rPr>
          <t xml:space="preserve">Methane:  222.1 MJ/kg_H2 (not for heat supply).
</t>
        </r>
      </text>
    </comment>
    <comment ref="B16" authorId="0" shapeId="0" xr:uid="{D742CE35-DBC0-44A0-BDD5-7FFA87108CC7}">
      <text>
        <r>
          <rPr>
            <sz val="9"/>
            <color indexed="81"/>
            <rFont val="Tahoma"/>
            <family val="2"/>
          </rPr>
          <t>8,506 EUR/(kg/h H2)</t>
        </r>
      </text>
    </comment>
    <comment ref="D16" authorId="0" shapeId="0" xr:uid="{BDC41B7D-F57C-434B-9A87-0795727A7261}">
      <text>
        <r>
          <rPr>
            <sz val="9"/>
            <color indexed="81"/>
            <rFont val="Tahoma"/>
            <family val="2"/>
          </rPr>
          <t>Electricity:  17.7 kWh/kg_H2
Used for heat supply with electric arc.</t>
        </r>
      </text>
    </comment>
    <comment ref="H16" authorId="0" shapeId="0" xr:uid="{59DABF4F-35DB-436A-942A-9DFE1362E88E}">
      <text>
        <r>
          <rPr>
            <sz val="9"/>
            <color indexed="81"/>
            <rFont val="Tahoma"/>
            <family val="2"/>
          </rPr>
          <t xml:space="preserve">Methane:  224.4 MJ/kg_H2 
</t>
        </r>
      </text>
    </comment>
    <comment ref="B17" authorId="0" shapeId="0" xr:uid="{16CFC8E3-7CEF-41AC-A184-8055AA7DC878}">
      <text>
        <r>
          <rPr>
            <sz val="9"/>
            <color indexed="81"/>
            <rFont val="Tahoma"/>
            <family val="2"/>
          </rPr>
          <t>13,892 EUR/(kg/h H2)</t>
        </r>
      </text>
    </comment>
    <comment ref="D17" authorId="0" shapeId="0" xr:uid="{216C9565-1DA5-4834-B0A1-956C3736DCC9}">
      <text>
        <r>
          <rPr>
            <sz val="9"/>
            <color indexed="81"/>
            <rFont val="Tahoma"/>
            <family val="2"/>
          </rPr>
          <t>Methane:  299.0 MJ/kg_H2 
Electricity:  0 kWh/kg_H2</t>
        </r>
      </text>
    </comment>
    <comment ref="H17" authorId="0" shapeId="0" xr:uid="{352FD96C-17CB-4192-BCE5-1FC4515FB978}">
      <text>
        <r>
          <rPr>
            <sz val="9"/>
            <color indexed="81"/>
            <rFont val="Tahoma"/>
            <family val="2"/>
          </rPr>
          <t xml:space="preserve">Assumed conversion close to theoretical minimum of methane:  222.1 MJ/kg_H2.
Remainder is used for heat supply.
</t>
        </r>
      </text>
    </comment>
    <comment ref="B18" authorId="0" shapeId="0" xr:uid="{6E7B636E-FA9F-4F74-B3A4-9AEF7B7714B2}">
      <text>
        <r>
          <rPr>
            <sz val="9"/>
            <color indexed="81"/>
            <rFont val="Tahoma"/>
            <family val="2"/>
          </rPr>
          <t>35,962 EUR/(kg/h H2)</t>
        </r>
      </text>
    </comment>
    <comment ref="D18" authorId="0" shapeId="0" xr:uid="{FD98512E-71BF-4F48-BC2F-42B96850D5CC}">
      <text>
        <r>
          <rPr>
            <sz val="9"/>
            <color indexed="81"/>
            <rFont val="Tahoma"/>
            <family val="2"/>
          </rPr>
          <t>Methane supply of 266.8 MJ/kg_H2. Conversion assumed to be close to theoretical minimum; remainder used to supply heat.</t>
        </r>
      </text>
    </comment>
    <comment ref="B33" authorId="0" shapeId="0" xr:uid="{6E364318-B248-4FB2-B4C5-9FB12B098D08}">
      <text>
        <r>
          <rPr>
            <sz val="9"/>
            <color indexed="81"/>
            <rFont val="Tahoma"/>
            <family val="2"/>
          </rPr>
          <t>176 EUR/ (kg_NH3/d)</t>
        </r>
      </text>
    </comment>
    <comment ref="B55" authorId="0" shapeId="0" xr:uid="{18B7831A-E687-4274-989C-A7B88FA14DFA}">
      <text>
        <r>
          <rPr>
            <sz val="9"/>
            <color indexed="81"/>
            <rFont val="Tahoma"/>
            <family val="2"/>
          </rPr>
          <t>Total CAPEX: 20.6 million Euro.
* 411 EUR/tMeOH_output/year  equals to
* 2,062 EUR/tH2_input/year  equals to
* 21 EUR/GJ/year (methanol @ 19.7 MJ/kg)</t>
        </r>
      </text>
    </comment>
    <comment ref="D55" authorId="0" shapeId="0" xr:uid="{1D301FB8-BB66-4EDA-8CA6-AF497E096563}">
      <text>
        <r>
          <rPr>
            <sz val="9"/>
            <color indexed="81"/>
            <rFont val="Tahoma"/>
            <family val="2"/>
          </rPr>
          <t>Electricity: 0.44 MWh/tMeOH</t>
        </r>
      </text>
    </comment>
    <comment ref="B56" authorId="0" shapeId="0" xr:uid="{9EE269F9-46A9-4CFD-A86F-548494E8EAFD}">
      <text>
        <r>
          <rPr>
            <sz val="9"/>
            <color indexed="81"/>
            <rFont val="Tahoma"/>
            <family val="2"/>
          </rPr>
          <t>Unit CAPEX: 496.5 EUR/tMeOH/yr.
Capacity: 55 kg/hr @ 8000 hr/yr = 440 ktMeOH/year.
Total investment = 496.5 * 440,000 = 218,460,000 EUR.</t>
        </r>
      </text>
    </comment>
    <comment ref="D56" authorId="0" shapeId="0" xr:uid="{1D503D34-0104-4A96-AA8F-0D9A4CFF9B9A}">
      <text>
        <r>
          <rPr>
            <sz val="9"/>
            <color indexed="81"/>
            <rFont val="Tahoma"/>
            <family val="2"/>
          </rPr>
          <t>Electricity: 0.4 MWh/tMeOH</t>
        </r>
      </text>
    </comment>
    <comment ref="F56" authorId="0" shapeId="0" xr:uid="{449B1708-FBFE-41AE-BFFC-932336E05993}">
      <text>
        <r>
          <rPr>
            <sz val="9"/>
            <color indexed="81"/>
            <rFont val="Tahoma"/>
            <family val="2"/>
          </rPr>
          <t xml:space="preserve">Fixed operating costs are 11 million Euro per year. 
11,000,000 / 440,000 = 25 EUR/t_MeOH/year </t>
        </r>
      </text>
    </comment>
    <comment ref="B57" authorId="0" shapeId="0" xr:uid="{AD4DF84A-624D-413D-BB0F-240AC44ACF62}">
      <text>
        <r>
          <rPr>
            <sz val="9"/>
            <color indexed="81"/>
            <rFont val="Tahoma"/>
            <family val="2"/>
          </rPr>
          <t>Average: 300 EUR_2015/kW_fuel with ranges from 200 to 400 EUR/kW_fuel</t>
        </r>
      </text>
    </comment>
    <comment ref="F57" authorId="0" shapeId="0" xr:uid="{53481B12-DD47-408E-A6CE-ABCCEFB2EB20}">
      <text>
        <r>
          <rPr>
            <sz val="9"/>
            <color indexed="81"/>
            <rFont val="Tahoma"/>
            <family val="2"/>
          </rPr>
          <t>4% of capex / year</t>
        </r>
      </text>
    </comment>
    <comment ref="F58" authorId="0" shapeId="0" xr:uid="{4925D6D6-8600-4B25-9934-77DB6DF854DA}">
      <text>
        <r>
          <rPr>
            <sz val="9"/>
            <color indexed="81"/>
            <rFont val="Tahoma"/>
            <family val="2"/>
          </rPr>
          <t>4% of capex / year</t>
        </r>
      </text>
    </comment>
    <comment ref="F59" authorId="0" shapeId="0" xr:uid="{4C09519B-8B4C-498F-B8E1-F97389FB9BCD}">
      <text>
        <r>
          <rPr>
            <sz val="9"/>
            <color indexed="81"/>
            <rFont val="Tahoma"/>
            <family val="2"/>
          </rPr>
          <t>4% of capex / year</t>
        </r>
      </text>
    </comment>
    <comment ref="H62" authorId="0" shapeId="0" xr:uid="{D1F01605-CB5C-4E42-BE4A-94CFD8167FBB}">
      <text>
        <r>
          <rPr>
            <sz val="9"/>
            <color indexed="81"/>
            <rFont val="Tahoma"/>
            <family val="2"/>
          </rPr>
          <t xml:space="preserve">Energy efficiency. </t>
        </r>
      </text>
    </comment>
    <comment ref="D66" authorId="0" shapeId="0" xr:uid="{7FE8F980-94DA-4AAE-85A5-C02D439EE4F0}">
      <text>
        <r>
          <rPr>
            <sz val="9"/>
            <color indexed="81"/>
            <rFont val="Tahoma"/>
            <family val="2"/>
          </rPr>
          <t>Electricity usage</t>
        </r>
      </text>
    </comment>
    <comment ref="D74" authorId="0" shapeId="0" xr:uid="{2AE12083-D854-4407-A95C-147F783108A3}">
      <text>
        <r>
          <rPr>
            <sz val="9"/>
            <color indexed="81"/>
            <rFont val="Tahoma"/>
            <family val="2"/>
          </rPr>
          <t>Electricity use: 0.9 MJ/kgCO2</t>
        </r>
      </text>
    </comment>
    <comment ref="H78" authorId="0" shapeId="0" xr:uid="{26F36418-6C24-4691-AE22-16069D096F03}">
      <text>
        <r>
          <rPr>
            <sz val="9"/>
            <color indexed="81"/>
            <rFont val="Tahoma"/>
            <family val="2"/>
          </rPr>
          <t xml:space="preserve">Similar as value provided under VOM (column D), but expressed as an energy efficiency. </t>
        </r>
      </text>
    </comment>
    <comment ref="H79" authorId="0" shapeId="0" xr:uid="{FD6F7E73-B6C0-48A3-8ABE-917B90C45909}">
      <text>
        <r>
          <rPr>
            <sz val="9"/>
            <color indexed="81"/>
            <rFont val="Tahoma"/>
            <family val="2"/>
          </rPr>
          <t xml:space="preserve">Similar as value provided under VOM (column D), but expressed as an energy efficiency. </t>
        </r>
      </text>
    </comment>
    <comment ref="H80" authorId="0" shapeId="0" xr:uid="{359C815A-52C8-4FCB-839F-0EC3797CDCF3}">
      <text>
        <r>
          <rPr>
            <sz val="9"/>
            <color indexed="81"/>
            <rFont val="Tahoma"/>
            <family val="2"/>
          </rPr>
          <t xml:space="preserve">Similar as value provided under VOM (column D), but expressed as an energy efficiency. </t>
        </r>
      </text>
    </comment>
    <comment ref="H81" authorId="0" shapeId="0" xr:uid="{82AC2E55-28DE-4E75-A3FC-44FF65937B27}">
      <text>
        <r>
          <rPr>
            <sz val="9"/>
            <color indexed="81"/>
            <rFont val="Tahoma"/>
            <family val="2"/>
          </rPr>
          <t xml:space="preserve">Similar as value provided under VOM (column D), but expressed as an energy efficiency. </t>
        </r>
      </text>
    </comment>
    <comment ref="H82" authorId="0" shapeId="0" xr:uid="{47404752-5325-4CBF-A8E4-03879B0164BD}">
      <text>
        <r>
          <rPr>
            <sz val="9"/>
            <color indexed="81"/>
            <rFont val="Tahoma"/>
            <family val="2"/>
          </rPr>
          <t xml:space="preserve">Similar as value provided under VOM (column D), but expressed as an energy efficiency. </t>
        </r>
      </text>
    </comment>
    <comment ref="H83" authorId="0" shapeId="0" xr:uid="{6CB35F28-7E6A-4256-8142-EB020D8CA7CF}">
      <text>
        <r>
          <rPr>
            <sz val="9"/>
            <color indexed="81"/>
            <rFont val="Tahoma"/>
            <family val="2"/>
          </rPr>
          <t xml:space="preserve">Similar as value provided under VOM (column D), but expressed as an energy efficiency. </t>
        </r>
      </text>
    </comment>
    <comment ref="H86" authorId="0" shapeId="0" xr:uid="{894261BE-A8AA-4F99-83D6-FF070D9DB59D}">
      <text>
        <r>
          <rPr>
            <sz val="9"/>
            <color indexed="81"/>
            <rFont val="Tahoma"/>
            <family val="2"/>
          </rPr>
          <t xml:space="preserve">Similar as value provided under VOM (column D), but expressed as an energy efficiency. </t>
        </r>
      </text>
    </comment>
    <comment ref="H87" authorId="0" shapeId="0" xr:uid="{364D25D4-D3BB-432D-A745-C1166D079A45}">
      <text>
        <r>
          <rPr>
            <sz val="9"/>
            <color indexed="81"/>
            <rFont val="Tahoma"/>
            <family val="2"/>
          </rPr>
          <t xml:space="preserve">Similar as value provided under VOM (column D), but expressed as an energy efficiency. </t>
        </r>
      </text>
    </comment>
    <comment ref="H88" authorId="0" shapeId="0" xr:uid="{A4C9CF0B-5BA6-4734-A707-5B5C3777742A}">
      <text>
        <r>
          <rPr>
            <sz val="9"/>
            <color indexed="81"/>
            <rFont val="Tahoma"/>
            <family val="2"/>
          </rPr>
          <t xml:space="preserve">Similar as value provided under VOM (column D), but expressed as an energy efficiency. </t>
        </r>
      </text>
    </comment>
    <comment ref="H89" authorId="0" shapeId="0" xr:uid="{9E2E0D09-2FDB-4ADD-A50E-A916D157BABF}">
      <text>
        <r>
          <rPr>
            <sz val="9"/>
            <color indexed="81"/>
            <rFont val="Tahoma"/>
            <family val="2"/>
          </rPr>
          <t xml:space="preserve">Similar as value provided under VOM (column D), but expressed as an energy efficiency. </t>
        </r>
      </text>
    </comment>
    <comment ref="H90" authorId="0" shapeId="0" xr:uid="{CD2F5CAF-0610-44CE-BEC0-AF0ED5F84483}">
      <text>
        <r>
          <rPr>
            <sz val="9"/>
            <color indexed="81"/>
            <rFont val="Tahoma"/>
            <family val="2"/>
          </rPr>
          <t xml:space="preserve">Similar as value provided under VOM (column D), but expressed as an energy efficiency. </t>
        </r>
      </text>
    </comment>
    <comment ref="H91" authorId="0" shapeId="0" xr:uid="{EC0A891F-5970-45ED-BC4D-CEF5D77F8C27}">
      <text>
        <r>
          <rPr>
            <sz val="9"/>
            <color indexed="81"/>
            <rFont val="Tahoma"/>
            <family val="2"/>
          </rPr>
          <t xml:space="preserve">Similar as value provided under VOM (column D), but expressed as an energy efficiency. </t>
        </r>
      </text>
    </comment>
    <comment ref="H93" authorId="0" shapeId="0" xr:uid="{2269AFAB-E0D3-45BD-9D7C-F718E72BE08E}">
      <text>
        <r>
          <rPr>
            <sz val="9"/>
            <color indexed="81"/>
            <rFont val="Tahoma"/>
            <family val="2"/>
          </rPr>
          <t xml:space="preserve">Similar as value provided under VOM (column D), but expressed as an energy efficiency. </t>
        </r>
      </text>
    </comment>
    <comment ref="H94" authorId="0" shapeId="0" xr:uid="{52B7E19E-3D2F-4F64-8ADB-D049CAF6103E}">
      <text>
        <r>
          <rPr>
            <sz val="9"/>
            <color indexed="81"/>
            <rFont val="Tahoma"/>
            <family val="2"/>
          </rPr>
          <t xml:space="preserve">Similar as value provided under VOM (column D), but expressed as an energy efficiency. </t>
        </r>
      </text>
    </comment>
    <comment ref="H96" authorId="0" shapeId="0" xr:uid="{58090A39-2D50-4720-B0A5-05661E30C49E}">
      <text>
        <r>
          <rPr>
            <sz val="9"/>
            <color indexed="81"/>
            <rFont val="Tahoma"/>
            <family val="2"/>
          </rPr>
          <t xml:space="preserve">Similar as value provided under VOM (column D), but expressed as an energy efficiency. </t>
        </r>
      </text>
    </comment>
    <comment ref="H97" authorId="0" shapeId="0" xr:uid="{0A5D6EFA-7330-4172-9D3C-E44C322C2DF2}">
      <text>
        <r>
          <rPr>
            <sz val="9"/>
            <color indexed="81"/>
            <rFont val="Tahoma"/>
            <family val="2"/>
          </rPr>
          <t xml:space="preserve">Similar as value provided under VOM (column D), but expressed as an energy efficiency. </t>
        </r>
      </text>
    </comment>
    <comment ref="H98" authorId="0" shapeId="0" xr:uid="{876988D2-90A9-4822-BCA2-03D724A3FAEB}">
      <text>
        <r>
          <rPr>
            <sz val="9"/>
            <color indexed="81"/>
            <rFont val="Tahoma"/>
            <family val="2"/>
          </rPr>
          <t xml:space="preserve">Similar as value provided under VOM (column D), but expressed as an energy efficiency.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Vos, Maurice</author>
  </authors>
  <commentList>
    <comment ref="F11" authorId="0" shapeId="0" xr:uid="{71CBCF34-A582-437A-A9BD-034F7BAC3BBD}">
      <text>
        <r>
          <rPr>
            <sz val="9"/>
            <color indexed="81"/>
            <rFont val="Tahoma"/>
            <family val="2"/>
          </rPr>
          <t>2.0% of capex</t>
        </r>
      </text>
    </comment>
    <comment ref="B15" authorId="0" shapeId="0" xr:uid="{7CB0973E-CBDE-4C91-B59A-F30559439014}">
      <text>
        <r>
          <rPr>
            <sz val="9"/>
            <color indexed="81"/>
            <rFont val="Tahoma"/>
            <family val="2"/>
          </rPr>
          <t>5 EUR/kgH2. Originally we assume 50 EUR/kgH2 but this included LOHC carrier material (2.5 EUR/kgLOHC @ 15.2 kgLOHC/kgH2) as well.</t>
        </r>
      </text>
    </comment>
    <comment ref="F15" authorId="0" shapeId="0" xr:uid="{18CA2CCC-7D0C-464A-85CD-98D2E74E424E}">
      <text>
        <r>
          <rPr>
            <sz val="9"/>
            <color indexed="81"/>
            <rFont val="Tahoma"/>
            <family val="2"/>
          </rPr>
          <t>2.0% of capex</t>
        </r>
      </text>
    </comment>
    <comment ref="B16" authorId="0" shapeId="0" xr:uid="{DDA4CC91-C921-4F1F-BC86-491F4B60F025}">
      <text>
        <r>
          <rPr>
            <sz val="9"/>
            <color indexed="81"/>
            <rFont val="Tahoma"/>
            <family val="2"/>
          </rPr>
          <t>Tank storage costs: 375 EUR/cbm. 
Volumetric energy density LOHC: 1.57 MWh/m3</t>
        </r>
      </text>
    </comment>
    <comment ref="F16" authorId="0" shapeId="0" xr:uid="{FD0F1179-CFE5-4694-BA15-20D616E25EB9}">
      <text>
        <r>
          <rPr>
            <sz val="9"/>
            <color indexed="81"/>
            <rFont val="Tahoma"/>
            <family val="2"/>
          </rPr>
          <t>Typical tank (farm) storage OPEX: 2.5 EUR/cbm</t>
        </r>
      </text>
    </comment>
    <comment ref="B17" authorId="0" shapeId="0" xr:uid="{A2346392-B8EF-4D30-BEDF-67D5A45457EF}">
      <text>
        <r>
          <rPr>
            <sz val="9"/>
            <color indexed="81"/>
            <rFont val="Tahoma"/>
            <family val="2"/>
          </rPr>
          <t>Tank storage costs: 500 EUR/cbm. 
Volumetric energy density LOHC: 1.57 MWh/m3</t>
        </r>
      </text>
    </comment>
    <comment ref="F17" authorId="0" shapeId="0" xr:uid="{F5D7B5A1-A315-4737-9FF0-DFFFEBD68047}">
      <text>
        <r>
          <rPr>
            <sz val="9"/>
            <color indexed="81"/>
            <rFont val="Tahoma"/>
            <family val="2"/>
          </rPr>
          <t>Typical tank (farm) storage OPEX: 2.5 EUR/cbm</t>
        </r>
      </text>
    </comment>
    <comment ref="F18" authorId="0" shapeId="0" xr:uid="{C51DEAE4-F239-4B75-861B-1A416FA928C3}">
      <text>
        <r>
          <rPr>
            <sz val="9"/>
            <color indexed="81"/>
            <rFont val="Tahoma"/>
            <family val="2"/>
          </rPr>
          <t>2.0% of capex</t>
        </r>
      </text>
    </comment>
    <comment ref="B24" authorId="0" shapeId="0" xr:uid="{152B7D28-3321-4287-B5F3-FADF069ACAA3}">
      <text>
        <r>
          <rPr>
            <sz val="9"/>
            <color indexed="81"/>
            <rFont val="Tahoma"/>
            <family val="2"/>
          </rPr>
          <t>Tank storage costs: 375 EUR/cbm. 
Volumetric energy density MeOH: 4.38 MWh/m3</t>
        </r>
      </text>
    </comment>
    <comment ref="F24" authorId="0" shapeId="0" xr:uid="{1BDA76AF-B961-460A-B5E8-954899858827}">
      <text>
        <r>
          <rPr>
            <sz val="9"/>
            <color indexed="81"/>
            <rFont val="Tahoma"/>
            <family val="2"/>
          </rPr>
          <t>Typical tank (farm) storage OPEX: 2.5 EUR/cbm</t>
        </r>
      </text>
    </comment>
    <comment ref="B25" authorId="0" shapeId="0" xr:uid="{852F3A0B-5AB4-428C-95C3-B4EB9A948687}">
      <text>
        <r>
          <rPr>
            <sz val="9"/>
            <color indexed="81"/>
            <rFont val="Tahoma"/>
            <family val="2"/>
          </rPr>
          <t>Tank storage costs: 500 EUR/cbm. 
Volumetric energy density MeOH: 4.38 MWh/m3</t>
        </r>
      </text>
    </comment>
    <comment ref="F25" authorId="0" shapeId="0" xr:uid="{568FA3BB-41D3-4EF8-8AF6-A3EF7A6EFF60}">
      <text>
        <r>
          <rPr>
            <sz val="9"/>
            <color indexed="81"/>
            <rFont val="Tahoma"/>
            <family val="2"/>
          </rPr>
          <t>Typical tank (farm) storage OPEX: 2.5 EUR/cbm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Vos, Maurice</author>
  </authors>
  <commentList>
    <comment ref="D33" authorId="0" shapeId="0" xr:uid="{880496CA-6D95-4AD5-8FD7-670BE6E0D1DE}">
      <text>
        <r>
          <rPr>
            <sz val="9"/>
            <color indexed="81"/>
            <rFont val="Tahoma"/>
            <family val="2"/>
          </rPr>
          <t>Fuel use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tc={CFFAE89F-6986-4AAB-ACED-D0186D5E445E}</author>
    <author>Douma, Jochum</author>
    <author>tc={651D8010-0C41-48EA-9341-986AF5DC8B62}</author>
  </authors>
  <commentList>
    <comment ref="H6" authorId="0" shapeId="0" xr:uid="{CFFAE89F-6986-4AAB-ACED-D0186D5E445E}">
      <text>
        <t>[Threaded comment]
Your version of Excel allows you to read this threaded comment; however, any edits to it will get removed if the file is opened in a newer version of Excel. Learn more: https://go.microsoft.com/fwlink/?linkid=870924
Comment:
    What would be useful is the energy consumed to bring hydrogen to 350 or 700 bar, which is a different presentation from the VOM below</t>
      </text>
    </comment>
    <comment ref="D11" authorId="1" shapeId="0" xr:uid="{B5DB02CD-FD41-49F5-9081-AC0C99D2DD5B}">
      <text>
        <r>
          <rPr>
            <sz val="9"/>
            <color indexed="81"/>
            <rFont val="Tahoma"/>
            <family val="2"/>
          </rPr>
          <t>5.15 MJ/kg_H2
Energy consumption (electric) can be added to arrive at the desired pressure level.</t>
        </r>
      </text>
    </comment>
    <comment ref="D12" authorId="1" shapeId="0" xr:uid="{8A3EC2EB-F146-4B79-9D21-9F3D42569F7A}">
      <text>
        <r>
          <rPr>
            <sz val="9"/>
            <color indexed="81"/>
            <rFont val="Tahoma"/>
            <family val="2"/>
          </rPr>
          <t>2.00 MJ/kg_H2
Energy consumption (electric) can be added to arrive at the desired pressure level</t>
        </r>
      </text>
    </comment>
    <comment ref="D13" authorId="1" shapeId="0" xr:uid="{3545DA80-BC57-414D-94D4-D3399475302D}">
      <text>
        <r>
          <rPr>
            <sz val="9"/>
            <color indexed="81"/>
            <rFont val="Tahoma"/>
            <family val="2"/>
          </rPr>
          <t>2.8 MJ/kg_H2
Energy consumption (electric) can be added to arrive at the desired pressure level</t>
        </r>
      </text>
    </comment>
    <comment ref="D14" authorId="1" shapeId="0" xr:uid="{90821591-2429-4519-A1D3-A8E505B2A1D4}">
      <text>
        <r>
          <rPr>
            <sz val="9"/>
            <color indexed="81"/>
            <rFont val="Tahoma"/>
            <family val="2"/>
          </rPr>
          <t>0.85 MJ/kg_H2
Energy consumption (electric) can be added to arrive at the desired pressure level</t>
        </r>
      </text>
    </comment>
    <comment ref="D15" authorId="1" shapeId="0" xr:uid="{120DA920-377C-4356-AF45-07B6B1C08312}">
      <text>
        <r>
          <rPr>
            <sz val="9"/>
            <color indexed="81"/>
            <rFont val="Tahoma"/>
            <family val="2"/>
          </rPr>
          <t>3.4 MJ/kg_H2
Energy consumption (electric) can be added to arrive at the desired pressure level</t>
        </r>
      </text>
    </comment>
    <comment ref="D16" authorId="1" shapeId="0" xr:uid="{978E34C9-E024-41D9-93FC-0BE74C04CCBF}">
      <text>
        <r>
          <rPr>
            <sz val="9"/>
            <color indexed="81"/>
            <rFont val="Tahoma"/>
            <family val="2"/>
          </rPr>
          <t>1.95 MJ/kg_H2
Energy consumption (electric) can be added to arrive at the desired pressure level</t>
        </r>
      </text>
    </comment>
    <comment ref="D17" authorId="1" shapeId="0" xr:uid="{83A1BBBE-B91C-42CE-AC1E-514F69342544}">
      <text>
        <r>
          <rPr>
            <sz val="9"/>
            <color indexed="81"/>
            <rFont val="Tahoma"/>
            <family val="2"/>
          </rPr>
          <t>3.5 MJ/kg_H2
Energy consumption (electric) can be added to arrive at the desired pressure level</t>
        </r>
      </text>
    </comment>
    <comment ref="N23" authorId="2" shapeId="0" xr:uid="{651D8010-0C41-48EA-9341-986AF5DC8B62}">
      <text>
        <t xml:space="preserve">[Threaded comment]
Your version of Excel allows you to read this threaded comment; however, any edits to it will get removed if the file is opened in a newer version of Excel. Learn more: https://go.microsoft.com/fwlink/?linkid=870924
Comment:
    I would be interested by knowing the loss due to compression needed. It's very low for methane pipe (0,8% in the French transport network from memory), but as the hydrogen is moving faster, is it of the same order of magnitude ?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Vos, Maurice</author>
    <author>Douma, Jochum</author>
  </authors>
  <commentList>
    <comment ref="B6" authorId="0" shapeId="0" xr:uid="{95FA2050-C7FD-495F-924F-1CE51DF86FAE}">
      <text>
        <r>
          <rPr>
            <sz val="9"/>
            <color indexed="81"/>
            <rFont val="Tahoma"/>
            <family val="2"/>
          </rPr>
          <t xml:space="preserve">Total CAPEX ATR: 8520 Mln. GBP for 12.15 GW H2 capacity based on HHV.
</t>
        </r>
      </text>
    </comment>
    <comment ref="H6" authorId="1" shapeId="0" xr:uid="{9261CEF0-681D-4BA7-BECA-2802712034E6}">
      <text>
        <r>
          <rPr>
            <b/>
            <sz val="9"/>
            <color indexed="81"/>
            <rFont val="Tahoma"/>
            <family val="2"/>
          </rPr>
          <t>Douma, Jochum:</t>
        </r>
        <r>
          <rPr>
            <sz val="9"/>
            <color indexed="81"/>
            <rFont val="Tahoma"/>
            <family val="2"/>
          </rPr>
          <t xml:space="preserve">
Conversion efficiency of NG to H2</t>
        </r>
      </text>
    </comment>
    <comment ref="H7" authorId="1" shapeId="0" xr:uid="{3201EABC-E961-4DED-81D2-DF7956A3A09B}">
      <text>
        <r>
          <rPr>
            <b/>
            <sz val="9"/>
            <color indexed="81"/>
            <rFont val="Tahoma"/>
            <family val="2"/>
          </rPr>
          <t>Douma, Jochum:</t>
        </r>
        <r>
          <rPr>
            <sz val="9"/>
            <color indexed="81"/>
            <rFont val="Tahoma"/>
            <family val="2"/>
          </rPr>
          <t xml:space="preserve">
Conversion efficiency of NG to H2</t>
        </r>
      </text>
    </comment>
    <comment ref="H8" authorId="1" shapeId="0" xr:uid="{BFF3B7F7-98B8-4BE5-ABB5-B620759F8881}">
      <text>
        <r>
          <rPr>
            <b/>
            <sz val="9"/>
            <color indexed="81"/>
            <rFont val="Tahoma"/>
            <family val="2"/>
          </rPr>
          <t>Douma, Jochum:</t>
        </r>
        <r>
          <rPr>
            <sz val="9"/>
            <color indexed="81"/>
            <rFont val="Tahoma"/>
            <family val="2"/>
          </rPr>
          <t xml:space="preserve">
Conversion efficiency of NG to H2</t>
        </r>
      </text>
    </comment>
    <comment ref="H9" authorId="1" shapeId="0" xr:uid="{4014B994-D69C-4838-A44E-4BD6260CF9BF}">
      <text>
        <r>
          <rPr>
            <b/>
            <sz val="9"/>
            <color indexed="81"/>
            <rFont val="Tahoma"/>
            <family val="2"/>
          </rPr>
          <t>Douma, Jochum:</t>
        </r>
        <r>
          <rPr>
            <sz val="9"/>
            <color indexed="81"/>
            <rFont val="Tahoma"/>
            <family val="2"/>
          </rPr>
          <t xml:space="preserve">
Conversion efficiency of NG to H2</t>
        </r>
      </text>
    </comment>
    <comment ref="H10" authorId="1" shapeId="0" xr:uid="{D6B45099-42D7-483F-B413-8E52DBAFD99B}">
      <text>
        <r>
          <rPr>
            <b/>
            <sz val="9"/>
            <color indexed="81"/>
            <rFont val="Tahoma"/>
            <family val="2"/>
          </rPr>
          <t>Douma, Jochum:</t>
        </r>
        <r>
          <rPr>
            <sz val="9"/>
            <color indexed="81"/>
            <rFont val="Tahoma"/>
            <family val="2"/>
          </rPr>
          <t xml:space="preserve">
Conversion efficiency of NG to H2</t>
        </r>
      </text>
    </comment>
    <comment ref="H11" authorId="1" shapeId="0" xr:uid="{E549B45D-AA50-405C-987E-7C374763F7BC}">
      <text>
        <r>
          <rPr>
            <b/>
            <sz val="9"/>
            <color indexed="81"/>
            <rFont val="Tahoma"/>
            <family val="2"/>
          </rPr>
          <t>Douma, Jochum:</t>
        </r>
        <r>
          <rPr>
            <sz val="9"/>
            <color indexed="81"/>
            <rFont val="Tahoma"/>
            <family val="2"/>
          </rPr>
          <t xml:space="preserve">
Conversion efficiency of NG to H2</t>
        </r>
      </text>
    </comment>
    <comment ref="B15" authorId="0" shapeId="0" xr:uid="{3937BF5A-2721-4B21-94EA-D14AA21F2C41}">
      <text>
        <r>
          <rPr>
            <sz val="9"/>
            <color indexed="81"/>
            <rFont val="Tahoma"/>
            <family val="2"/>
          </rPr>
          <t>Capture capacity: 2,827 tCO2/hr</t>
        </r>
      </text>
    </comment>
    <comment ref="D44" authorId="0" shapeId="0" xr:uid="{C4687D83-6A93-4292-A1D1-BB3CDFAA1314}">
      <text>
        <r>
          <rPr>
            <sz val="9"/>
            <color indexed="81"/>
            <rFont val="Tahoma"/>
            <family val="2"/>
          </rPr>
          <t>Specific electricity consumption for pumping.</t>
        </r>
      </text>
    </comment>
    <comment ref="D45" authorId="0" shapeId="0" xr:uid="{D3867586-8980-4FEC-8C21-B91A4BD66104}">
      <text>
        <r>
          <rPr>
            <sz val="9"/>
            <color indexed="81"/>
            <rFont val="Tahoma"/>
            <family val="2"/>
          </rPr>
          <t>Specific electricity consumption for pumping.</t>
        </r>
      </text>
    </comment>
    <comment ref="D46" authorId="0" shapeId="0" xr:uid="{8865ACAD-5863-44B1-804B-5CA403A10712}">
      <text>
        <r>
          <rPr>
            <sz val="9"/>
            <color indexed="81"/>
            <rFont val="Tahoma"/>
            <family val="2"/>
          </rPr>
          <t>Specific electricity consumption for pumping.</t>
        </r>
      </text>
    </comment>
    <comment ref="D47" authorId="0" shapeId="0" xr:uid="{A1E34BE9-374D-4529-8731-5BE7FC7E3DCB}">
      <text>
        <r>
          <rPr>
            <sz val="9"/>
            <color indexed="81"/>
            <rFont val="Tahoma"/>
            <family val="2"/>
          </rPr>
          <t>Specific electricity consumption for pumping.</t>
        </r>
      </text>
    </comment>
    <comment ref="D48" authorId="0" shapeId="0" xr:uid="{F6CAB427-45D0-4E79-8BDF-84382A8C2381}">
      <text>
        <r>
          <rPr>
            <sz val="9"/>
            <color indexed="81"/>
            <rFont val="Tahoma"/>
            <family val="2"/>
          </rPr>
          <t>Specific electricity consumption for pumping.</t>
        </r>
      </text>
    </comment>
    <comment ref="B49" authorId="0" shapeId="0" xr:uid="{4F39FE3E-FEAF-406B-BA22-A766CDD6F653}">
      <text>
        <r>
          <rPr>
            <sz val="9"/>
            <color indexed="81"/>
            <rFont val="Tahoma"/>
            <family val="2"/>
          </rPr>
          <t>Total capex: 419 MEUR
Length: 410 km
Capacity: 14 MtCO2/yr</t>
        </r>
      </text>
    </comment>
    <comment ref="B50" authorId="0" shapeId="0" xr:uid="{B73A0A45-2C28-4810-8AAF-DA63A49AAEE3}">
      <text>
        <r>
          <rPr>
            <sz val="9"/>
            <color indexed="81"/>
            <rFont val="Tahoma"/>
            <family val="2"/>
          </rPr>
          <t>Total capex: 438 MEUR
Length: 455 km
Capacity: 20 MtCO2/yr</t>
        </r>
      </text>
    </comment>
    <comment ref="B51" authorId="0" shapeId="0" xr:uid="{BA9CC0D5-0C2F-4FCC-8BF5-69F6B48242D5}">
      <text>
        <r>
          <rPr>
            <sz val="9"/>
            <color indexed="81"/>
            <rFont val="Tahoma"/>
            <family val="2"/>
          </rPr>
          <t>Total capex: 833 MEUR
Length: 820 km
Capacity: 30 MtCO2/yr</t>
        </r>
      </text>
    </comment>
  </commentList>
</comments>
</file>

<file path=xl/sharedStrings.xml><?xml version="1.0" encoding="utf-8"?>
<sst xmlns="http://schemas.openxmlformats.org/spreadsheetml/2006/main" count="1267" uniqueCount="417">
  <si>
    <t>Nr.</t>
  </si>
  <si>
    <t>Liquefaction technologies</t>
  </si>
  <si>
    <t>Hydrogen liquefaction</t>
  </si>
  <si>
    <t>Regasification technologies</t>
  </si>
  <si>
    <t>LH2 regasification</t>
  </si>
  <si>
    <t>Conversion technologies</t>
  </si>
  <si>
    <t>Pyrolysis</t>
  </si>
  <si>
    <t>H2 conversion into ammonia</t>
  </si>
  <si>
    <t>Ammonia cracking</t>
  </si>
  <si>
    <t>H2 conversion into methanol</t>
  </si>
  <si>
    <t>Storage technologies</t>
  </si>
  <si>
    <t>LH2 storage</t>
  </si>
  <si>
    <t>LOHC storage</t>
  </si>
  <si>
    <t>Methanol storage</t>
  </si>
  <si>
    <t>Shipping technologies</t>
  </si>
  <si>
    <t>LH2 shipping</t>
  </si>
  <si>
    <t>LOHC shipping</t>
  </si>
  <si>
    <t>Methanol shipping</t>
  </si>
  <si>
    <t>Transport technologies</t>
  </si>
  <si>
    <t>CCUS technologies</t>
  </si>
  <si>
    <t>carbon storage</t>
  </si>
  <si>
    <t>carbon shipping</t>
  </si>
  <si>
    <t>carbon transport</t>
  </si>
  <si>
    <t>Technology</t>
  </si>
  <si>
    <t>Step in value chain</t>
  </si>
  <si>
    <t>CAPEX</t>
  </si>
  <si>
    <t>Comment</t>
  </si>
  <si>
    <t>Sources</t>
  </si>
  <si>
    <t>Links</t>
  </si>
  <si>
    <t>TRL</t>
  </si>
  <si>
    <t>Developments</t>
  </si>
  <si>
    <t>unit</t>
  </si>
  <si>
    <t>Year</t>
  </si>
  <si>
    <t>Exchange rates</t>
  </si>
  <si>
    <t>Inflation</t>
  </si>
  <si>
    <t>Other conversion factors</t>
  </si>
  <si>
    <t>Physical conversion factors</t>
  </si>
  <si>
    <t>hydrogen lower heating value</t>
  </si>
  <si>
    <t>MJ/kg</t>
  </si>
  <si>
    <t>MJ/m³</t>
  </si>
  <si>
    <t>kg/m³</t>
  </si>
  <si>
    <t xml:space="preserve">carbon capture </t>
  </si>
  <si>
    <t>Typical size | general remark | explanation of interpretation | etc.</t>
  </si>
  <si>
    <t>H2 compression</t>
  </si>
  <si>
    <t>H2 pipeline</t>
  </si>
  <si>
    <t>LH2 Storage</t>
  </si>
  <si>
    <t>LOHC Storage</t>
  </si>
  <si>
    <t>Methanol Storage</t>
  </si>
  <si>
    <t>LH2 Shipping</t>
  </si>
  <si>
    <t>LOHC Shipping</t>
  </si>
  <si>
    <t>Methanol Shipping</t>
  </si>
  <si>
    <t>Pipeline</t>
  </si>
  <si>
    <t>Carbon shipping</t>
  </si>
  <si>
    <t>Compression (Hydrogen)</t>
  </si>
  <si>
    <t>Low</t>
  </si>
  <si>
    <t>Typical</t>
  </si>
  <si>
    <t>High</t>
  </si>
  <si>
    <t>%</t>
  </si>
  <si>
    <t xml:space="preserve">Liquid Organic Hydrogen Carriers as an efficient vector for the transport and storage of renewable energy, Teichmann et al. </t>
  </si>
  <si>
    <t>High and low CAPEX are assumed +/- 30% of typical capex</t>
  </si>
  <si>
    <t>A feasibility study of implementing an Ammonia Economy, Jeffrey Ralph Bartels, Iowa State University (2008), Section 3.1</t>
  </si>
  <si>
    <t>Carbon capture (combustion)</t>
  </si>
  <si>
    <t>Efficiency: (45k dwt, 2400 tonnes H2 capacity)
Capex: (1050 tonnes H2 transport capacity)
Opex: (1000 km, 2400 H2 cargo capacity)</t>
  </si>
  <si>
    <t>typical estimate +/-25%</t>
  </si>
  <si>
    <t>No Boil off as it is liquid at ambient conditions</t>
  </si>
  <si>
    <t xml:space="preserve">Øyvind Sekkesæter, Evaluation of Concepts and Systems for Marine Transportation of Hydrogen. </t>
  </si>
  <si>
    <t>IEA, the Future of Hydrogen</t>
  </si>
  <si>
    <t>IEA Technology Roadmap Hydrogen Fuel cells, Table 10.
Liquid Organic Hydrogen Carriers as an efficient vector for the transport and storage of renewable energy, Teichmann et al.: Table 2: 1,18 USD/€: 0,94 USD/W</t>
  </si>
  <si>
    <t>The Future of Hydrogen Report prepared by the IEA for the G20, Japan Seizing today’s opportunities (2019), assumptions annex, Transmission</t>
  </si>
  <si>
    <t>IEA Technology Roadmap Hydrogen Fuel cells, Table 10.
Øyvind Sekkesæter, Evaluation of Concepts and Systems for Marine Transportation of Hydrogen. Table 10-3.
USD=0,123NOK. 2,0 USD/W</t>
  </si>
  <si>
    <t>Figure 8.2, Japan case: 0,07 kWh/kgH2</t>
  </si>
  <si>
    <t>Mid-point between low and high</t>
  </si>
  <si>
    <t>Figure 8.2, Svalbard case: 0,16 kWh/kgH2</t>
  </si>
  <si>
    <t>Mean of low and high</t>
  </si>
  <si>
    <t>H21 North of England Report v1.0</t>
  </si>
  <si>
    <t>DNV GL study, 500 tH2 capacity</t>
  </si>
  <si>
    <t>Typical + 60%, assuming 250 tH2 capacity.</t>
  </si>
  <si>
    <t xml:space="preserve"> assumptions annex, transmission, 11 000 tH2 capacity</t>
  </si>
  <si>
    <t>IEA The future of hydrogen</t>
  </si>
  <si>
    <t xml:space="preserve">Assuming 50% higher fuel consumption (higher speed) and opex (more advanced equipment) than a chemical tanker, 39 kUSD/day, 11 000 tH2 capacity, and 417 km/day. OPEX/day is doubled since tankers are only laden half of their time. </t>
  </si>
  <si>
    <t xml:space="preserve">Assuming 50% higher fuel consumption (higher speed) and opex (more advanced equipment) than a chemical tanker, 30 kUSD/day, 500 tH2 capacity, and 417 km/day. OPEX/day is doubled since tankers are only laden half of their time. </t>
  </si>
  <si>
    <t xml:space="preserve">Assuming 50% higher fuel consumption (higher speed) and opex (more advanced equipment) than a chemical tanker, 27 kUSD/day, 250 tH2 capacity, and 417 km/day. OPEX/day is doubled since tankers are only laden half of their time. </t>
  </si>
  <si>
    <t xml:space="preserve">'Assuming a 20 000 DWT chemical tanker with 340 TJ methanol cargo capacity. Average speed according to AIS requests is about 11.7 kn in transit, with port stays 6.1 kn or 11.3 km/h, 271km/day. However tankers are only laden half of their time. Opex for methanol carrier is about 7-8 kUSD/day (Drewry "Ship Operation costs" 2016-2017). According to AIS request, typical fuel consumption is 17 t/d. Fuel costs can be from 250 to 600 $/t, typically 400 $/t. Hence in total 11 to 18 kUSD/day. </t>
  </si>
  <si>
    <t>Typical -30%</t>
  </si>
  <si>
    <t>Typical +30%</t>
  </si>
  <si>
    <t>Expert judgement</t>
  </si>
  <si>
    <t>No hydrogen is lost during compression | TRL = 9: electric piston compressors for hydrogen are widely used in industry and for many system sizes. Only the combination with RE (as electric input) is new and is to be proven.</t>
  </si>
  <si>
    <t>Of installed CAPEX</t>
  </si>
  <si>
    <t>DNV GL analysis</t>
  </si>
  <si>
    <t>Electrical input to compressor | 80% compression efficiency | 2 stages from 1 to 10 bar</t>
  </si>
  <si>
    <t>Electrical input to compressor | 80% compression efficiency | 2 stages from 10 to 50 bar</t>
  </si>
  <si>
    <t>Electrical input to compressor | 80% compression efficiency | 2 stages from 50 to 300 bar</t>
  </si>
  <si>
    <t>1000 kg/h (H2) | 2 stage piston compressor (30-200 bar)|80% compression efficiency | + 20% for an extra stage | uninstalled (100% additional costs for installation)</t>
  </si>
  <si>
    <t>5000 kg/h (H2) | 2 stage piston compressor (30-200 bar)|80% compression efficiency | + 20% for an extra stage | uninstalled (100% additional costs for installation)</t>
  </si>
  <si>
    <t>10000 kg/h (H2) | 2 stage piston compressor (30-200 bar)|80% compression efficiency | + 20% for an extra stage | uninstalled (100% additional costs for installation)</t>
  </si>
  <si>
    <t>1-10 bar</t>
  </si>
  <si>
    <t>10-50 bar</t>
  </si>
  <si>
    <t>30-200 bar</t>
  </si>
  <si>
    <t>50-300 bar</t>
  </si>
  <si>
    <t>Hydrogen loss through permeation is negligible</t>
  </si>
  <si>
    <t>Standard estimation in many projects</t>
  </si>
  <si>
    <t>1000 kg/h (H2) transport at 40-45 bar over 100 km | 6" pipeline (steel)</t>
  </si>
  <si>
    <t>10,000 kg/h (H2) transport at 40-45 bar over 100 km | 16" pipeline (steel)</t>
  </si>
  <si>
    <t>100,000 kg/h (H2) transport at 40-45 bar over 100 km | 36" pipeline (steel)</t>
  </si>
  <si>
    <t>Bellotti et al. (2019). Economic feasibility of methanol synthesis as a method for CO2 reduction and energy storage. Energy Procedia</t>
  </si>
  <si>
    <t>6-7</t>
  </si>
  <si>
    <t>Perez-Fortes et al. (2016). Methanol synthesis using captured CO2as raw material Techno-economic and environmental assessment. Applied Energy</t>
  </si>
  <si>
    <t>50,000 ton/year methanol production (or 6.13 ton/hour); 9,835 ton/year H2 and 72,125 ton/year CO2 as input required (inlet gas mix 9.975 ton/hour). Lifetime = 20 years; Electricity consumption: 0.44 MWh/t_MeOH</t>
  </si>
  <si>
    <t>VOM</t>
  </si>
  <si>
    <t>FOM</t>
  </si>
  <si>
    <t>% (LHV MeOH/LHV H2)</t>
  </si>
  <si>
    <t>Assumes 25 year lifetime of plant</t>
  </si>
  <si>
    <t>Brynolf et al. (2018). Electrofuels for the transport sector A review of production costs. Renewable and Sustainable Energy Reviews</t>
  </si>
  <si>
    <t xml:space="preserve">IEA Technology Roadmap Hydrogen Fuel Cells </t>
  </si>
  <si>
    <t>kWh/kg</t>
  </si>
  <si>
    <t>E.Connely et. al, Current status of hydrogen liquefaction costs,2019
https://www.hydrogen.energy.gov/pdfs/19001_hydrogen_liquefaction_costs.pdf</t>
  </si>
  <si>
    <t>Nexant, Liquefaction and pipeline cost, 2007
https://www1.eere.energy.gov/hydrogenandfuelcells/pdfs/deliv_analysis_kelly_lh2.pdf</t>
  </si>
  <si>
    <t>K. Ohlig and L. Decker, The latest developments and outlook for hydrogen liquefaction technology, 2015
https://aip.scitation.org/doi/pdf/10.1063/1.4860858</t>
  </si>
  <si>
    <t>Outlooks to energy consumption of 6 kWh/kg benchmark (IdealHy)</t>
  </si>
  <si>
    <t>LOHC is a diesel like susbstance and can be stored in the same tanks. Diesel storage is already mature.</t>
  </si>
  <si>
    <t>M. Reuß, et al., "Seasonal storage and alternative carriers: A flexible hydrogen supplychain model", 2017</t>
  </si>
  <si>
    <t>6250 MNOK for 5970 tpd NH3</t>
  </si>
  <si>
    <t>Large</t>
  </si>
  <si>
    <t>Small</t>
  </si>
  <si>
    <t>280MNOK for 71 tpd NH3</t>
  </si>
  <si>
    <t>https://hydrogencouncil.com/wp-content/uploads/2020/01/Path-to-Hydrogen-Competitiveness_Full-Study-1.pdf</t>
  </si>
  <si>
    <t>7*800 MNOK for 160,000 m³ LOHC capacity. | Assuming LHV and 57 kg H2 per m³ of LOHC</t>
  </si>
  <si>
    <t>ATR w/ integrated CO2 capture</t>
  </si>
  <si>
    <t>EUR/MW H2 (LHV)</t>
  </si>
  <si>
    <t>H21, North of England</t>
  </si>
  <si>
    <t>Jakobsen &amp; Åtland, 2016</t>
  </si>
  <si>
    <t>SMR w/ integrated CO2 capture (low)</t>
  </si>
  <si>
    <t>SMR w/ integrated CO2 capture (high)</t>
  </si>
  <si>
    <t>20% cost reduction in 2030 and 24% towards 2050</t>
  </si>
  <si>
    <t>No cost reduction foreseen</t>
  </si>
  <si>
    <t>GBP to EUR</t>
  </si>
  <si>
    <t>USD to EUR</t>
  </si>
  <si>
    <t>Storage capacity: 2,827 t/hr, 516 million tCO2 over 32 years</t>
  </si>
  <si>
    <t>Carbon transport (pipeline)</t>
  </si>
  <si>
    <t>Energy content</t>
  </si>
  <si>
    <t>LHV</t>
  </si>
  <si>
    <t>HHV</t>
  </si>
  <si>
    <t>Methanol</t>
  </si>
  <si>
    <t>SMR w/ integrated CO2 capture</t>
  </si>
  <si>
    <t>DNV GL, ExplEnergy</t>
  </si>
  <si>
    <t>SMR w/ integrated CO2 capture (mid)</t>
  </si>
  <si>
    <t>GJ to MWh</t>
  </si>
  <si>
    <t>H2 production: 12.15 GW_H2 (HHV). Capture rate 94.2%. Converted to LHV.</t>
  </si>
  <si>
    <t>Element Energy Ltd. (2018). Shipping CO2 - UK Cost estimation study for BEIS</t>
  </si>
  <si>
    <t>Mid</t>
  </si>
  <si>
    <t>EUR/tCO2/vessel</t>
  </si>
  <si>
    <t>MWh/day</t>
  </si>
  <si>
    <t>10000 tCO2, low pressure, VOM = fuel consumption per day</t>
  </si>
  <si>
    <t>30000 tCO2, low pressure, VOM = fuel consumption per day</t>
  </si>
  <si>
    <t>50000 tCO2, low pressure, VOM = fuel consumption per day</t>
  </si>
  <si>
    <t>DNV GL</t>
  </si>
  <si>
    <t>EUR/MWh_H2</t>
  </si>
  <si>
    <t>NOK to EUR</t>
  </si>
  <si>
    <t>EUR/MWh</t>
  </si>
  <si>
    <t>Density</t>
  </si>
  <si>
    <t>kg/m3</t>
  </si>
  <si>
    <t>kg/L</t>
  </si>
  <si>
    <t>Gravimetric energy density</t>
  </si>
  <si>
    <t>Volumetric energy density</t>
  </si>
  <si>
    <t>MJ/m3</t>
  </si>
  <si>
    <t>MWh/m3</t>
  </si>
  <si>
    <t>NCE Maritime CleanTech, Norwegian future value chains for liquid hydrogen.</t>
  </si>
  <si>
    <t>'The US Department of Energy reports a current price for a LH2-storage tank containing 3500 m3 at 6,6 million USD, with an “ultimate goal” of a price reduction to 3,3 million USD.'</t>
  </si>
  <si>
    <t>LH2</t>
  </si>
  <si>
    <t xml:space="preserve">Based on characteristic prices for LNG storage tanks, with the assumption that LH2 tanks are 50% more expensive than LNG tanks of similar volume capacities. Appendix H: 0.315 MNOK for a 1 ton storage tank (~14 m3). </t>
  </si>
  <si>
    <t>"Klebanoff &amp; Pratt (2016) give a price of 625 000 USD for a 4 290 kg LH2-tank (~60 m3) indicating a price level 45-50 percent higher tank for LNG-tanks." 
Tank size used for bunkering facilities.</t>
  </si>
  <si>
    <t>Table 10: 800 USD/MWh (High capacity of 100 GWh)</t>
  </si>
  <si>
    <r>
      <t xml:space="preserve">Ammonia </t>
    </r>
    <r>
      <rPr>
        <b/>
        <strike/>
        <sz val="11"/>
        <color theme="1"/>
        <rFont val="Calibri"/>
        <family val="2"/>
        <scheme val="minor"/>
      </rPr>
      <t>compression</t>
    </r>
    <r>
      <rPr>
        <b/>
        <sz val="11"/>
        <color theme="1"/>
        <rFont val="Calibri"/>
        <family val="2"/>
        <scheme val="minor"/>
      </rPr>
      <t xml:space="preserve"> liquefaction</t>
    </r>
  </si>
  <si>
    <t>Investment of 35 MEUR for a 50 000 m3 / 38 500 ton tank.</t>
  </si>
  <si>
    <t>S. Lanphen (2019). Hydrogen Import Terminal, Providing insights in the cost of supply chain elements of v arious hydrogen carriers for the import of hydrogen.</t>
  </si>
  <si>
    <t>Plasma pyrolysis</t>
  </si>
  <si>
    <t>Labanca, Fuegeus and Miranda. (2006). Economic Analysis of CO2 Free Hydrogen Production from Natural Gas by Plasma Pyrolysis</t>
  </si>
  <si>
    <t>Labanca, Aurelio. (2019). Carbon Black and Hydrogen Production Process Analysis</t>
  </si>
  <si>
    <t>Parkinson et al. (2018). Hydrogen production using methane-Techno-economics of decarbonizing fuels and chemicals</t>
  </si>
  <si>
    <t>Catalytic thermal pyrolysis of methane at 1000 °C reactor temperature and 35 bar feed natural gas pressure for 100 kilotonnes per annum (~380 MW) of product hydrogen and 300 kta of carbon</t>
  </si>
  <si>
    <t>Capacity: 203152 Nm3/day (~25 MW)</t>
  </si>
  <si>
    <t>Capacity: 166.67 kg/hour (~5.6 MW)</t>
  </si>
  <si>
    <t>Molten Metal</t>
  </si>
  <si>
    <t>Timmerberg et al. (2020). Hydrogen and hydrogen-derived fuels through methane decomposition of naturalgas–GHG emissions and costs</t>
  </si>
  <si>
    <t>Capacity: 22,698 kgH2/d (32 MW). No catalyst renewal included, can be up to 4 EUR/kg_H2</t>
  </si>
  <si>
    <t>Capacity: 273,973 kgH2/d (380 MW)</t>
  </si>
  <si>
    <t>Capacity: 547,945 kgH2/d (761 MW)</t>
  </si>
  <si>
    <t>Capacity: 2,158 kgH2/d (3 MW). No catalyst renewal included, can be up to 4 EUR/kg_H2</t>
  </si>
  <si>
    <t>EUR/kW</t>
  </si>
  <si>
    <t>Serpa et al. (2011). Technical and Economic Characteristics of a CO2 Transmission Pipeline Infrastructure</t>
  </si>
  <si>
    <t>44"| 50 MtCO2/year</t>
  </si>
  <si>
    <t>40" | 50 MtCO2/year | Offshore</t>
  </si>
  <si>
    <t>32" | 30 MtCO2/year | Offshore</t>
  </si>
  <si>
    <t>24" | 15 MtCO2/year | Offshore</t>
  </si>
  <si>
    <t>16" | 5.0 MtCO2/year | Offshore</t>
  </si>
  <si>
    <t>12" | 2.5 MtCO2/year | Offshore</t>
  </si>
  <si>
    <t>40" | 50 MtCO2/year | Onshore</t>
  </si>
  <si>
    <t>32" | 30 MtCO2/year | Onshore</t>
  </si>
  <si>
    <t>24" | 15 MtCO2/year | Onshore</t>
  </si>
  <si>
    <t>16" | 5.0 MtCO2/year | Onshore</t>
  </si>
  <si>
    <t>12" | 2.5 MtCO2/year | Onshore</t>
  </si>
  <si>
    <t>48"| 50 MtCO2/year</t>
  </si>
  <si>
    <t>52"| 50 MtCO2/year</t>
  </si>
  <si>
    <t>56"| 50 MtCO2/year</t>
  </si>
  <si>
    <t>EUR/km/ (MtCO2/yr)</t>
  </si>
  <si>
    <t>Haumann et al. (2012). CO2 Pipeline Transport from Germany to Algeria</t>
  </si>
  <si>
    <t>From Germany to Algeria through Silicy</t>
  </si>
  <si>
    <t>From Germany to Algeria through Sardinia</t>
  </si>
  <si>
    <t>kWh/tCO2</t>
  </si>
  <si>
    <t>14 Mt CO2/year | offshore</t>
  </si>
  <si>
    <t>20 Mt CO2/year | offshore</t>
  </si>
  <si>
    <t>30 Mt CO2/year | offshore</t>
  </si>
  <si>
    <t>EBN &amp; Gasunie. (2017). Transport en opslag van CO2 in Nederland</t>
  </si>
  <si>
    <t>EUR/kW_H2</t>
  </si>
  <si>
    <t>H2 conversion into ammonia (Haber bosch)</t>
  </si>
  <si>
    <t>300-700 bar</t>
  </si>
  <si>
    <t>Electrical input to compressor | 80% compression efficiency | 1 stage from 300 to 700 bar</t>
  </si>
  <si>
    <t>30-50 bar</t>
  </si>
  <si>
    <t>10-30 bar</t>
  </si>
  <si>
    <t>Electrical input to compressor | 80% compression efficiency | 1 stage from 10 to 30 bar</t>
  </si>
  <si>
    <t>Electrical input to compressor | 80% compression efficiency | 1 stage from 30 to 50 bar</t>
  </si>
  <si>
    <t>Electrical input to compressor | 80% compression efficiency | 2 stages from 30 to 200 bar (compression for underground storage)</t>
  </si>
  <si>
    <t>Ammonia (normal)</t>
  </si>
  <si>
    <t>Hydrogen (normal)</t>
  </si>
  <si>
    <t>Ammonia from synloop (haber bosch) production is already liquid (see figure)</t>
  </si>
  <si>
    <r>
      <t>Liquid Ammonia (@ 0</t>
    </r>
    <r>
      <rPr>
        <sz val="11"/>
        <color theme="1"/>
        <rFont val="Arial"/>
        <family val="2"/>
      </rPr>
      <t>˚</t>
    </r>
    <r>
      <rPr>
        <sz val="11"/>
        <color theme="1"/>
        <rFont val="Calibri"/>
        <family val="2"/>
      </rPr>
      <t>C &amp; saturation pressure)</t>
    </r>
  </si>
  <si>
    <t>LNG (410-500 kg/m³)</t>
  </si>
  <si>
    <r>
      <t>Reu</t>
    </r>
    <r>
      <rPr>
        <sz val="11"/>
        <color theme="1"/>
        <rFont val="Calibri"/>
        <family val="2"/>
      </rPr>
      <t>β, M. et al. (2017), Seasonal storage and alternative carriers: A flexible hydrogen supply chain model. Applied Energy</t>
    </r>
  </si>
  <si>
    <t>Assuming 3% of capex per year</t>
  </si>
  <si>
    <t>Section 10.3, 2,5% of CAPEX</t>
  </si>
  <si>
    <t>8 kWh/kg (electric energy used for liquefaction)</t>
  </si>
  <si>
    <t>13 kWh/kg (electric energy used for liquefaction)</t>
  </si>
  <si>
    <t>10 kWh/kg (electric energy used for liquefaction)</t>
  </si>
  <si>
    <t>1,000,000 kg/d capacity system costs 14050 MNOK</t>
  </si>
  <si>
    <t>11,000 kg/d capacity system costs 250 MNOK</t>
  </si>
  <si>
    <t>200,000 kg/d capacity system costs 500 M$</t>
  </si>
  <si>
    <t>H21 NoE</t>
  </si>
  <si>
    <t>1500 MGBP for 600 t/d</t>
  </si>
  <si>
    <t>150 MUSD for 50 metric tons H2 per day (vednor data)</t>
  </si>
  <si>
    <t>100 MUSD for 50 metric tons H2 per day (equation)</t>
  </si>
  <si>
    <t>165 MGBP for 1220 t/d | extrapolated from LNG regasigication | less than 1% energy required of H2 content</t>
  </si>
  <si>
    <t>No H2 losses</t>
  </si>
  <si>
    <t>496 MGBP for 4600 t NH3/d</t>
  </si>
  <si>
    <t>Shipping intelligence Network: 21-35 MUSD the last years for a 20 000 DWT chemical tanker, i.e. 340 TJ. (LHV of 20t MeOH = 394TJ, but Cargo represents a fraction of DWT). Here assumed 21 MUSD.</t>
  </si>
  <si>
    <t>Shipping intelligence Network: 21-35 MUSD the last years for a 20 000 DWT chemical tanker, i.e. 340 TJ. (LHV of 20t MeOH = 394TJ, but Cargo represents a fraction of DWT). Here assumed 28 MUSD.</t>
  </si>
  <si>
    <t>Shipping intelligence Network: 21-35 MUSD the last years for a 20 000 DWT chemical tanker, i.e. 340 TJ. (LHV of 20t MeOH = 394TJ, but Cargo represents a fraction of DWT). Here assumed 35 MUSD.</t>
  </si>
  <si>
    <t>Assuming no hydrogen is lost during liquefaction</t>
  </si>
  <si>
    <t>The Future of Hydrogen Report prepared by the IEA for the G20, Japan Seizing today’s opportunities (2019), assumptions annex, Transmission, 4% of CAPEX</t>
  </si>
  <si>
    <t>Table 10-3: 1,340 MNOK for 850 t H2/d</t>
  </si>
  <si>
    <t>Table 10-3: 60 MNOK for 10 t H2/d</t>
  </si>
  <si>
    <t>Section 3.4.3.4: 4% of overnight capital costs</t>
  </si>
  <si>
    <t>Box 7: 7% energy of Energy in H2</t>
  </si>
  <si>
    <t>Box 7: 18% energy of Energy in H2</t>
  </si>
  <si>
    <t>3 to 4</t>
  </si>
  <si>
    <t>Schneider et al. (2020). State of the Art of Hydrogen Production via Pyrolysis of Natural Gas</t>
  </si>
  <si>
    <t>6 to 8</t>
  </si>
  <si>
    <t>Pyrolysis (general)</t>
  </si>
  <si>
    <t>3 to 5</t>
  </si>
  <si>
    <t>CSIRO. (2019). National Hydrogen Research, Development and Demonstration (RD&amp;D), Technical Repository</t>
  </si>
  <si>
    <t>Already done on commercial scale</t>
  </si>
  <si>
    <t>8-9</t>
  </si>
  <si>
    <t>Plasma pyrolysis (Low)</t>
  </si>
  <si>
    <t>Plasma pyrolysis (Typical)</t>
  </si>
  <si>
    <t>Plasma pyrolysis (High)</t>
  </si>
  <si>
    <t>Molten Metal (Low)</t>
  </si>
  <si>
    <t>Molten Metal (Typical)</t>
  </si>
  <si>
    <t>Molten Metal (High)</t>
  </si>
  <si>
    <t>Gas reactor (Low)</t>
  </si>
  <si>
    <t>Gas reactor (Typical)</t>
  </si>
  <si>
    <t>Gas reactor (High)</t>
  </si>
  <si>
    <t>kWh/kWh_H2</t>
  </si>
  <si>
    <t>Capacity: 402,901 kgH2/d (560 MW) | Data based on theoretical study from 1994</t>
  </si>
  <si>
    <t>Data based on theoretical study from 1998</t>
  </si>
  <si>
    <t>Bartels (2008) estimates the cost for Haber-Bosch synloop + ASU (245+185) of 430 MUSD for 2200 t/d</t>
  </si>
  <si>
    <t>between low and high</t>
  </si>
  <si>
    <t>Capacity: 1,914 kgH2/d (2.7 MW) | Based on theoretical study from 2007</t>
  </si>
  <si>
    <t>Gas reactor (catalytical decomposition)</t>
  </si>
  <si>
    <t>Molten metal (thermal decomposition)</t>
  </si>
  <si>
    <t>EUR/kW_MeOH</t>
  </si>
  <si>
    <t>440 ktMeOH/y plant or 55,000 kg/hr @ 8000hr/yr; 10.9 kg/hr H2 and 80.3 kg/hr CO2 as input required; Electricity usage = 0.4 MWh/t_MeOH; 20 year lifetime</t>
  </si>
  <si>
    <t>180MNOK for 67 tpd NH3 | assuming storage of 17.7 wt% H2 in NH3</t>
  </si>
  <si>
    <t>5*2500MNOK for 160,000 m³ LH2 capacity. | Assuming LHV and 71kg H2 per m³ of LH2</t>
  </si>
  <si>
    <t>EUR/kW_NH3</t>
  </si>
  <si>
    <t>kWh/kWh_MeOH</t>
  </si>
  <si>
    <t>% of CAPEX p.a.</t>
  </si>
  <si>
    <t>kWh/kWh_NH3</t>
  </si>
  <si>
    <t>6" | 1000 kg/h (H2)</t>
  </si>
  <si>
    <t>16" | 10,000 kg/h (H2)</t>
  </si>
  <si>
    <t>36" | 100,000 kg/h (H2)</t>
  </si>
  <si>
    <t>EUR/kW/m</t>
  </si>
  <si>
    <t>EUR/year/(tCO2/hr)</t>
  </si>
  <si>
    <t>EUR/(tCO2/hr)</t>
  </si>
  <si>
    <t>Section 3.7. Table 3.23: 235 GBP/kW H2 hhv | 87.5% H2 hhv for energy use</t>
  </si>
  <si>
    <t>Section 3.7. Table 3.23: 248 GBP/kW H2 hhv | 88.9% H2 hhv energy</t>
  </si>
  <si>
    <t>EUR/MWh MeOH</t>
  </si>
  <si>
    <t>EUR/(MWh*km)</t>
  </si>
  <si>
    <t>% boil off/day</t>
  </si>
  <si>
    <t>EUR/kWe</t>
  </si>
  <si>
    <t>1 MWe</t>
  </si>
  <si>
    <t>5 MWe</t>
  </si>
  <si>
    <t>10 MWe</t>
  </si>
  <si>
    <t>Zero Emissions Platform. The Costs of CO2 Storage</t>
  </si>
  <si>
    <t>Carbon storage</t>
  </si>
  <si>
    <t>Offshore UKCS, depleted field</t>
  </si>
  <si>
    <t>Offshore NCS, depleted field</t>
  </si>
  <si>
    <t>Offshore, no legacy wells</t>
  </si>
  <si>
    <t>Offshore, depleted field</t>
  </si>
  <si>
    <t>Offshore, aquifer</t>
  </si>
  <si>
    <t>Onshore, no legacy wells</t>
  </si>
  <si>
    <t>Onshore, depleted field</t>
  </si>
  <si>
    <t>Onshore, aquifer</t>
  </si>
  <si>
    <t>K. Ohlig and L. Decker, The latest developments and outlook for hydrogen liquefaction technology, 2015
 https://aip.scitation.org/doi/pdf/10.1063/1.4860858</t>
  </si>
  <si>
    <t>Niras. (2019). Screening of carbon capture technologies</t>
  </si>
  <si>
    <t>Biogas production (Anaerobic digestion)</t>
  </si>
  <si>
    <t>500 m3/h</t>
  </si>
  <si>
    <t>1000 m3/h</t>
  </si>
  <si>
    <t>Feedstock costs</t>
  </si>
  <si>
    <t>Navigant, Gas for Climate - The optimal role for gas in a net-zero emissions energy system, 2019</t>
  </si>
  <si>
    <t>5 to 6</t>
  </si>
  <si>
    <t>42 MW plant</t>
  </si>
  <si>
    <t>200 MW plant</t>
  </si>
  <si>
    <t>MEUR/MWhth/yr</t>
  </si>
  <si>
    <t>84 MW plant</t>
  </si>
  <si>
    <t>Medium</t>
  </si>
  <si>
    <t xml:space="preserve">IRENA, Renewable Power Generation Costs in 2019, </t>
  </si>
  <si>
    <t>Offshore wind</t>
  </si>
  <si>
    <t>Estimate for 2025, approx. 100 km offshore using 12 to 15 MW turbines</t>
  </si>
  <si>
    <t>9</t>
  </si>
  <si>
    <t>Onshore wind</t>
  </si>
  <si>
    <t>Solar PV</t>
  </si>
  <si>
    <t>Methanation</t>
  </si>
  <si>
    <t>Thema et al. (2019). Power-to-Gas Electrolysis and methanation status review</t>
  </si>
  <si>
    <t>IEA, The Future of Hydrogen, Assumptions Annex, 2019</t>
  </si>
  <si>
    <t>Frontier Economics, The Future Cost of Electricity-Based Synthetic Fuels, 2018</t>
  </si>
  <si>
    <t>Future 2030</t>
  </si>
  <si>
    <t>Future 2050</t>
  </si>
  <si>
    <t>Today</t>
  </si>
  <si>
    <t>Direct Air Capture (today)</t>
  </si>
  <si>
    <t>Direct Air Capture (future 2050)</t>
  </si>
  <si>
    <t>EUR/kW_CH4</t>
  </si>
  <si>
    <t>kWh/kgCO2</t>
  </si>
  <si>
    <t>Technology: Temperature Swing Adsorption (TSA); heat required for TSA comes from methanation process. This is a low temperature process 80-100 degrees Celsius.</t>
  </si>
  <si>
    <t>kWh/kWh_CH4</t>
  </si>
  <si>
    <t>PEM Electrolysis</t>
  </si>
  <si>
    <t>0,2% boil off/day, 417 km/day, not included as fuel for ship propulsion (see VOM)</t>
  </si>
  <si>
    <t>0,1% boil off/day, 417 km/day, not included as fuel for ship propulsion (see VOM)</t>
  </si>
  <si>
    <t>0,4% boil off/day, 417 km/day, not included as fuel for ship propulsion (see VOM)</t>
  </si>
  <si>
    <t>Today (2020)</t>
  </si>
  <si>
    <t>Future (2030)</t>
  </si>
  <si>
    <t>Future (2040)</t>
  </si>
  <si>
    <t>Future (2050)</t>
  </si>
  <si>
    <t>Alkaline Electrolysis</t>
  </si>
  <si>
    <t>kWh/kgH2</t>
  </si>
  <si>
    <t>Total plant: elektrolyzer + stack + power electronics + balance of plant); GW-scale.</t>
  </si>
  <si>
    <t>IEA, The Future of Hydrogen, 2019</t>
  </si>
  <si>
    <t>SOEC Electrolysis</t>
  </si>
  <si>
    <t>5 to 7</t>
  </si>
  <si>
    <t>CE DELFT, Availability and costs of liquefied bio- and synthetic methane – The maritime shipping perspective, March 2020</t>
  </si>
  <si>
    <t>1.0 to 2.5</t>
  </si>
  <si>
    <t>ECN TNO, Technology factsheet, https://energy.nl/wp-content/uploads/2019/01/FINAL-H2-SOEC-small-scale-1.pdf</t>
  </si>
  <si>
    <t>Costs for small-scale system (4 MW)</t>
  </si>
  <si>
    <t>Ammonia Shipping</t>
  </si>
  <si>
    <t>TUDelft, Hydrogen Import Terminal – Master Thesis, July 2019</t>
  </si>
  <si>
    <t>Boil off losses: 0.08%/d or 0.002%/km (assuming 417km/d)
Fuel use (VOM): 2500 MJ/km for 53000 tNH3 vessel (986 TJ). HFO has 41 MJ/kg, so this implies a fuel consumption of 61 kgHFO/km. Fuel costs can be from 250 to 600 $/t, typically 400 $/t, which gives 24,4 USD/km. This gives 24,4/986000 = 2,5e-5 USD/GJ*km.</t>
  </si>
  <si>
    <t>Ammonia Storage</t>
  </si>
  <si>
    <t>EUR/MWh NH3</t>
  </si>
  <si>
    <t>kWh/kWh NH3</t>
  </si>
  <si>
    <t>Iowa State University, Bartels, J.R., A feasibility study of implementing an Ammonia Economy”, 2008</t>
  </si>
  <si>
    <r>
      <t xml:space="preserve">Low-temperature storage (-33 </t>
    </r>
    <r>
      <rPr>
        <sz val="11"/>
        <color theme="1"/>
        <rFont val="Calibri"/>
        <family val="2"/>
      </rPr>
      <t>°</t>
    </r>
    <r>
      <rPr>
        <sz val="9.35"/>
        <color theme="1"/>
        <rFont val="Calibri"/>
        <family val="2"/>
      </rPr>
      <t>C)</t>
    </r>
  </si>
  <si>
    <t>Biogas production (Thermal gasification)</t>
  </si>
  <si>
    <t>Energy production</t>
  </si>
  <si>
    <t>#</t>
  </si>
  <si>
    <t>Hydrogenation and dehydrogenation of LOHC</t>
  </si>
  <si>
    <t>DNV GL role</t>
  </si>
  <si>
    <t>Researched figures</t>
  </si>
  <si>
    <t>Alkaline electrolysis</t>
  </si>
  <si>
    <t>PEM electrolysis</t>
  </si>
  <si>
    <t>SOEC electrolysis</t>
  </si>
  <si>
    <r>
      <t xml:space="preserve">Ammonia </t>
    </r>
    <r>
      <rPr>
        <sz val="11"/>
        <color theme="1"/>
        <rFont val="Calibri"/>
        <family val="2"/>
        <scheme val="minor"/>
      </rPr>
      <t>liquefaction</t>
    </r>
  </si>
  <si>
    <t>Ammonia storage</t>
  </si>
  <si>
    <t>Ammonia shipping</t>
  </si>
  <si>
    <t>Review</t>
  </si>
  <si>
    <t>Conversion factors</t>
  </si>
  <si>
    <t>Hydrogenation and dehydrogenation of LOHC (toulene)</t>
  </si>
  <si>
    <t>Overview</t>
  </si>
  <si>
    <t>Investment of 200 MEUR for a 50 000 m3 / 3 540 ton tank. Losses are 13 %/year. This assumes a passive system so no active cooling is included</t>
  </si>
  <si>
    <t>Table 6: Losses: 0.03%/d. This assumes a passive system so no active cooling is included</t>
  </si>
  <si>
    <t>Section 8.2.5 Onshore LH2 buffer tanks. This assumes a passive system so no active cooling is included</t>
  </si>
  <si>
    <t>Boil-off stream: 0.3% loss per day. This assumes a passive system so no active cooling is included</t>
  </si>
  <si>
    <t>1200 MNOK for 1670 tpd H2 | Hydrogen pressure should be increased to 20 bar for hydrogenation (see "F Transport" for energy use for compression)</t>
  </si>
  <si>
    <t>230 MUSD for 4200 Kt TOL/y, 5000 full load hours per year</t>
  </si>
  <si>
    <t>https://www.hydrogenious.net/index.php/en/products/thereleaseunit/#anchor_releaseunit_sseries</t>
  </si>
  <si>
    <t>Hydrogenious release plant 1.5 tpd: 65 kg H2/h release rate requires heat demand of 780 kWth | added plant power and PSA power from IEA, the future of hydrogen</t>
  </si>
  <si>
    <t>Hydrogenation</t>
  </si>
  <si>
    <t>Dehydrogenation</t>
  </si>
  <si>
    <t>EUR/kW H2</t>
  </si>
  <si>
    <t>Natural gas (normal)</t>
  </si>
  <si>
    <t>Hydrogen content</t>
  </si>
  <si>
    <t>Toluene</t>
  </si>
  <si>
    <t>H2 %wt</t>
  </si>
  <si>
    <t>670 MUSD for 4200 Kt TOL/y, 5000 full load hours per year| 13.6 kWh/kgH2 heat requirement, 0.4 kWh/kgH2 plant power and 1.1 kWh/kgH2 for PSA | 90% H2 recovery rate from PSA | output is atmospheric hydrogen</t>
  </si>
  <si>
    <t>Dehydrogenation: 560 MNOK for 850 tpd H2 + PSA: 1170 MNOK for 440140 Nm³ H2/h | energy use 9.4 kWh/kg H2 for dehydrogenation | added plant power and PSA power from IEA, the future of hydrogen |  90% H2 recovery rate from PSA</t>
  </si>
  <si>
    <t>3860 MNOK for 5440 tpd NH3 | assuming storage of 17.7 wt% H2 in NH3 | Energy requirement 0.75 kWh/kg NH3 | 90% H2 recovery from PSA</t>
  </si>
  <si>
    <t>Efficiency/
losses</t>
  </si>
  <si>
    <t>% H2 losses</t>
  </si>
  <si>
    <t>% H2 recovery</t>
  </si>
  <si>
    <t>%/km (losses)</t>
  </si>
  <si>
    <t>% losses</t>
  </si>
  <si>
    <t>Date:</t>
  </si>
  <si>
    <t>Database with techno-economic data for the import of liquid renewable energy carriers</t>
  </si>
  <si>
    <t>Reviewed by:</t>
  </si>
  <si>
    <t>A. van  den Noort</t>
  </si>
  <si>
    <t>J. Douma, M. Vos</t>
  </si>
  <si>
    <t>Prepared by:</t>
  </si>
  <si>
    <t>Important notice</t>
  </si>
  <si>
    <r>
      <t xml:space="preserve">The cost data presented in this file generally apply to large-scale installations. Furthermore, the cost data are </t>
    </r>
    <r>
      <rPr>
        <i/>
        <sz val="11"/>
        <color theme="1"/>
        <rFont val="Calibri"/>
        <family val="2"/>
        <scheme val="minor"/>
      </rPr>
      <t>unit cost</t>
    </r>
    <r>
      <rPr>
        <sz val="11"/>
        <color theme="1"/>
        <rFont val="Calibri"/>
        <family val="2"/>
        <scheme val="minor"/>
      </rPr>
      <t xml:space="preserve">, meaning that the values represent typical, specific cost per unit of capacity (mostly investment costs or CAPEX) or cost per unit of throughput (mostly operational costs or OPEX). In comparing the total costs of different alternatives, it is important to acknowledge that the total costs (or levelized costs) are dependent on both CAPEX and OPEX. For instance, a high load factor -- or number of operating hours per year -- may reduce the relative share of CAPEX while increasing the relative share of OPEX and vice versa. Similarly, a load factor may impact costs faced up or down the value chain, for example to accommodate for additional storage. </t>
    </r>
  </si>
  <si>
    <t xml:space="preserve">This Excel-file contains cost estimates for technologies required for the import of liquid renewable energy carriers. The database was made by DNV GL on behalf of Gas Infrastructure Europe and is based on publicly available information and project experiences. In some cases, Gas Infrastructure Europe delivered cost data which was subsequently reviewed by DNV GL. The sheet "Overview" indicates which data was provided by DNV GL and which data was reviewed by DNV GL.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</si>
</sst>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0.000"/>
    <numFmt numFmtId="165" formatCode="_ * #,##0_ ;_ * \-#,##0_ ;_ * &quot;-&quot;??_ ;_ @_ "/>
    <numFmt numFmtId="166" formatCode="0.0"/>
    <numFmt numFmtId="167" formatCode="#,##0.0"/>
    <numFmt numFmtId="168" formatCode="0.00000"/>
    <numFmt numFmtId="169" formatCode="0.0000%"/>
    <numFmt numFmtId="170" formatCode="_ * #,##0.000_ ;_ * \-#,##0.000_ ;_ * &quot;-&quot;??_ ;_ @_ "/>
    <numFmt numFmtId="171" formatCode="_ * #,##0.0000_ ;_ * \-#,##0.0000_ ;_ * &quot;-&quot;??_ ;_ @_ "/>
    <numFmt numFmtId="172" formatCode="0.000000"/>
    <numFmt numFmtId="173" formatCode="0.0000"/>
    <numFmt numFmtId="174" formatCode="0.0%"/>
  </numFmts>
  <fonts count="22" x14ac:knownFonts="1">
    <font>
      <sz val="11"/>
      <color theme="1"/>
      <name val="Calibri"/>
      <family val="2"/>
      <scheme val="minor"/>
    </font>
    <font>
      <b/>
      <sz val="11"/>
      <color theme="1"/>
      <name val="Calibri"/>
      <family val="2"/>
      <scheme val="minor"/>
    </font>
    <font>
      <i/>
      <sz val="11"/>
      <color theme="2" tint="-0.499984740745262"/>
      <name val="Calibri"/>
      <family val="2"/>
      <scheme val="minor"/>
    </font>
    <font>
      <sz val="11"/>
      <name val="Calibri"/>
      <family val="2"/>
      <scheme val="minor"/>
    </font>
    <font>
      <sz val="8"/>
      <name val="Calibri"/>
      <family val="2"/>
      <scheme val="minor"/>
    </font>
    <font>
      <sz val="11"/>
      <color rgb="FFFF0000"/>
      <name val="Calibri"/>
      <family val="2"/>
      <scheme val="minor"/>
    </font>
    <font>
      <b/>
      <i/>
      <sz val="11"/>
      <color theme="2" tint="-0.499984740745262"/>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sz val="11"/>
      <color theme="1"/>
      <name val="Calibri"/>
      <family val="2"/>
      <scheme val="minor"/>
    </font>
    <font>
      <sz val="9"/>
      <color indexed="81"/>
      <name val="Tahoma"/>
      <family val="2"/>
    </font>
    <font>
      <b/>
      <strike/>
      <sz val="11"/>
      <color theme="1"/>
      <name val="Calibri"/>
      <family val="2"/>
      <scheme val="minor"/>
    </font>
    <font>
      <b/>
      <sz val="9"/>
      <color indexed="81"/>
      <name val="Tahoma"/>
      <family val="2"/>
    </font>
    <font>
      <sz val="11"/>
      <color theme="1"/>
      <name val="Calibri"/>
      <family val="2"/>
    </font>
    <font>
      <sz val="11"/>
      <color theme="1"/>
      <name val="Arial"/>
      <family val="2"/>
    </font>
    <font>
      <u/>
      <sz val="11"/>
      <color rgb="FFFF0000"/>
      <name val="Calibri"/>
      <family val="2"/>
      <scheme val="minor"/>
    </font>
    <font>
      <u/>
      <sz val="11"/>
      <name val="Calibri"/>
      <family val="2"/>
      <scheme val="minor"/>
    </font>
    <font>
      <sz val="9.35"/>
      <color theme="1"/>
      <name val="Calibri"/>
      <family val="2"/>
    </font>
    <font>
      <b/>
      <sz val="16"/>
      <color theme="1"/>
      <name val="Calibri"/>
      <family val="2"/>
      <scheme val="minor"/>
    </font>
    <font>
      <i/>
      <sz val="11"/>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2"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0.39997558519241921"/>
        <bgColor indexed="64"/>
      </patternFill>
    </fill>
  </fills>
  <borders count="15">
    <border>
      <left/>
      <right/>
      <top/>
      <bottom/>
      <diagonal/>
    </border>
    <border>
      <left/>
      <right/>
      <top style="thin">
        <color auto="1"/>
      </top>
      <bottom style="thin">
        <color auto="1"/>
      </bottom>
      <diagonal/>
    </border>
    <border>
      <left/>
      <right/>
      <top style="thin">
        <color indexed="64"/>
      </top>
      <bottom/>
      <diagonal/>
    </border>
    <border>
      <left/>
      <right/>
      <top style="thin">
        <color indexed="64"/>
      </top>
      <bottom style="hair">
        <color indexed="64"/>
      </bottom>
      <diagonal/>
    </border>
    <border>
      <left/>
      <right/>
      <top style="hair">
        <color auto="1"/>
      </top>
      <bottom style="hair">
        <color auto="1"/>
      </bottom>
      <diagonal/>
    </border>
    <border>
      <left/>
      <right/>
      <top style="hair">
        <color auto="1"/>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hair">
        <color indexed="64"/>
      </top>
      <bottom style="thin">
        <color indexed="64"/>
      </bottom>
      <diagonal/>
    </border>
    <border>
      <left/>
      <right/>
      <top style="medium">
        <color indexed="64"/>
      </top>
      <bottom style="thin">
        <color indexed="64"/>
      </bottom>
      <diagonal/>
    </border>
    <border>
      <left/>
      <right/>
      <top style="dotted">
        <color theme="0" tint="-0.499984740745262"/>
      </top>
      <bottom style="dotted">
        <color theme="0" tint="-0.499984740745262"/>
      </bottom>
      <diagonal/>
    </border>
    <border>
      <left/>
      <right/>
      <top style="dotted">
        <color theme="0" tint="-0.499984740745262"/>
      </top>
      <bottom/>
      <diagonal/>
    </border>
    <border>
      <left/>
      <right/>
      <top style="thin">
        <color indexed="64"/>
      </top>
      <bottom style="dotted">
        <color theme="0" tint="-0.499984740745262"/>
      </bottom>
      <diagonal/>
    </border>
    <border>
      <left/>
      <right/>
      <top style="dotted">
        <color theme="0" tint="-0.499984740745262"/>
      </top>
      <bottom style="thin">
        <color auto="1"/>
      </bottom>
      <diagonal/>
    </border>
  </borders>
  <cellStyleXfs count="4">
    <xf numFmtId="0" fontId="0" fillId="0" borderId="0"/>
    <xf numFmtId="0" fontId="9"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353">
    <xf numFmtId="0" fontId="0" fillId="0" borderId="0" xfId="0"/>
    <xf numFmtId="0" fontId="1" fillId="0" borderId="0" xfId="0" applyFont="1"/>
    <xf numFmtId="0" fontId="0" fillId="0" borderId="7" xfId="0" applyBorder="1"/>
    <xf numFmtId="0" fontId="0" fillId="2" borderId="7" xfId="0" applyFill="1" applyBorder="1"/>
    <xf numFmtId="0" fontId="2" fillId="0" borderId="7" xfId="0" applyFont="1" applyBorder="1"/>
    <xf numFmtId="0" fontId="0" fillId="0" borderId="0" xfId="0" applyFont="1"/>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xf>
    <xf numFmtId="0" fontId="0" fillId="0" borderId="0" xfId="0" applyBorder="1"/>
    <xf numFmtId="0" fontId="1" fillId="0" borderId="7" xfId="0" applyFont="1" applyBorder="1"/>
    <xf numFmtId="0" fontId="0" fillId="4" borderId="0" xfId="0" applyFill="1" applyAlignment="1">
      <alignment vertical="center" wrapText="1"/>
    </xf>
    <xf numFmtId="0" fontId="0" fillId="6" borderId="7" xfId="0" applyFill="1" applyBorder="1"/>
    <xf numFmtId="0" fontId="0" fillId="5" borderId="0" xfId="0" applyFill="1" applyBorder="1" applyAlignment="1">
      <alignment horizontal="left" vertical="center" wrapText="1"/>
    </xf>
    <xf numFmtId="0" fontId="0" fillId="3" borderId="0" xfId="0" applyFill="1" applyBorder="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vertical="center" wrapText="1"/>
    </xf>
    <xf numFmtId="0" fontId="1" fillId="4" borderId="10" xfId="0" applyFont="1" applyFill="1" applyBorder="1" applyAlignment="1">
      <alignment vertical="center" wrapText="1"/>
    </xf>
    <xf numFmtId="0" fontId="1" fillId="4" borderId="10"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xf numFmtId="0" fontId="1" fillId="4" borderId="1" xfId="0" applyFont="1" applyFill="1" applyBorder="1" applyAlignment="1">
      <alignment vertical="center" wrapText="1"/>
    </xf>
    <xf numFmtId="0" fontId="1" fillId="4" borderId="2"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Border="1"/>
    <xf numFmtId="0" fontId="8" fillId="4" borderId="2" xfId="0" applyFont="1" applyFill="1" applyBorder="1" applyAlignment="1">
      <alignment horizontal="left" vertical="center" wrapText="1"/>
    </xf>
    <xf numFmtId="0" fontId="8" fillId="4" borderId="6"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0" xfId="0" applyFont="1" applyBorder="1"/>
    <xf numFmtId="0" fontId="0" fillId="4" borderId="6"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5" borderId="0" xfId="0" applyFill="1" applyBorder="1" applyAlignment="1">
      <alignment horizontal="left" vertical="center"/>
    </xf>
    <xf numFmtId="1" fontId="0" fillId="0" borderId="0" xfId="0" applyNumberFormat="1"/>
    <xf numFmtId="0" fontId="9" fillId="0" borderId="0" xfId="1"/>
    <xf numFmtId="1" fontId="0" fillId="4" borderId="2" xfId="0" applyNumberFormat="1" applyFont="1" applyFill="1" applyBorder="1" applyAlignment="1">
      <alignment horizontal="left" vertical="center" wrapText="1"/>
    </xf>
    <xf numFmtId="0" fontId="5" fillId="0" borderId="0" xfId="0" applyFont="1" applyBorder="1"/>
    <xf numFmtId="0" fontId="0" fillId="4" borderId="2" xfId="0" applyFont="1" applyFill="1" applyBorder="1" applyAlignment="1">
      <alignment horizontal="left" vertical="center"/>
    </xf>
    <xf numFmtId="0" fontId="0" fillId="5" borderId="2" xfId="0" applyFont="1" applyFill="1" applyBorder="1" applyAlignment="1">
      <alignment horizontal="left" vertical="center"/>
    </xf>
    <xf numFmtId="0" fontId="0" fillId="4" borderId="6" xfId="0" applyFont="1" applyFill="1" applyBorder="1" applyAlignment="1">
      <alignment horizontal="left" vertical="center"/>
    </xf>
    <xf numFmtId="0" fontId="0" fillId="4" borderId="0" xfId="0" applyFill="1" applyAlignment="1">
      <alignment horizontal="left" vertical="center" wrapText="1"/>
    </xf>
    <xf numFmtId="0" fontId="0" fillId="4" borderId="11" xfId="0" applyFill="1" applyBorder="1" applyAlignment="1">
      <alignment vertical="center" wrapText="1"/>
    </xf>
    <xf numFmtId="0" fontId="0" fillId="4" borderId="11" xfId="0" applyFill="1" applyBorder="1" applyAlignment="1">
      <alignment horizontal="left" vertical="center" wrapText="1"/>
    </xf>
    <xf numFmtId="0" fontId="0" fillId="5" borderId="11" xfId="0" applyFill="1" applyBorder="1" applyAlignment="1">
      <alignment horizontal="left" vertical="center"/>
    </xf>
    <xf numFmtId="0" fontId="0" fillId="3" borderId="11" xfId="0" applyFill="1" applyBorder="1" applyAlignment="1">
      <alignment horizontal="left" vertical="center" wrapText="1"/>
    </xf>
    <xf numFmtId="0" fontId="0" fillId="4" borderId="11" xfId="0" applyFont="1" applyFill="1" applyBorder="1" applyAlignment="1">
      <alignment horizontal="left" vertical="center"/>
    </xf>
    <xf numFmtId="0" fontId="0" fillId="5" borderId="11" xfId="0" applyFont="1" applyFill="1" applyBorder="1" applyAlignment="1">
      <alignment horizontal="left" vertical="center"/>
    </xf>
    <xf numFmtId="0" fontId="0" fillId="3" borderId="11" xfId="0" applyFont="1" applyFill="1" applyBorder="1" applyAlignment="1">
      <alignment horizontal="left" vertical="center" wrapText="1"/>
    </xf>
    <xf numFmtId="0" fontId="0" fillId="4" borderId="11" xfId="0" applyFont="1" applyFill="1" applyBorder="1" applyAlignment="1">
      <alignment horizontal="left" vertical="center" wrapText="1"/>
    </xf>
    <xf numFmtId="1" fontId="0" fillId="4" borderId="11" xfId="0" applyNumberFormat="1" applyFont="1" applyFill="1" applyBorder="1" applyAlignment="1">
      <alignment horizontal="left" vertical="center" wrapText="1"/>
    </xf>
    <xf numFmtId="0" fontId="5" fillId="4" borderId="11"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0" fillId="5" borderId="11" xfId="0" applyFill="1" applyBorder="1" applyAlignment="1">
      <alignment horizontal="left" vertical="center" wrapText="1"/>
    </xf>
    <xf numFmtId="0" fontId="3" fillId="4" borderId="11" xfId="0" applyFont="1" applyFill="1" applyBorder="1" applyAlignment="1">
      <alignment horizontal="left" vertical="center" wrapText="1"/>
    </xf>
    <xf numFmtId="0" fontId="0" fillId="0" borderId="0" xfId="0" applyAlignment="1"/>
    <xf numFmtId="0" fontId="0" fillId="2" borderId="7" xfId="0" applyFill="1" applyBorder="1" applyAlignment="1"/>
    <xf numFmtId="0" fontId="6" fillId="5" borderId="10" xfId="0" applyFont="1" applyFill="1" applyBorder="1" applyAlignment="1">
      <alignment horizontal="left" vertical="center"/>
    </xf>
    <xf numFmtId="0" fontId="1" fillId="5" borderId="1" xfId="0" applyFont="1" applyFill="1" applyBorder="1" applyAlignment="1">
      <alignment horizontal="left" vertical="center"/>
    </xf>
    <xf numFmtId="0" fontId="0" fillId="3" borderId="11" xfId="0" applyFill="1" applyBorder="1" applyAlignment="1">
      <alignment horizontal="left" vertical="center"/>
    </xf>
    <xf numFmtId="0" fontId="0" fillId="4" borderId="11" xfId="0" applyFill="1" applyBorder="1" applyAlignment="1">
      <alignment horizontal="left" vertical="center"/>
    </xf>
    <xf numFmtId="16" fontId="0" fillId="4" borderId="0" xfId="0" quotePrefix="1" applyNumberFormat="1" applyFont="1" applyFill="1" applyBorder="1" applyAlignment="1">
      <alignment horizontal="left" vertical="center" wrapText="1"/>
    </xf>
    <xf numFmtId="166" fontId="0" fillId="4" borderId="11" xfId="0" applyNumberFormat="1" applyFill="1" applyBorder="1" applyAlignment="1">
      <alignment horizontal="left" vertical="center" wrapText="1"/>
    </xf>
    <xf numFmtId="0" fontId="0" fillId="4" borderId="11" xfId="0" applyFill="1" applyBorder="1" applyAlignment="1">
      <alignment horizontal="right" vertical="center" wrapText="1"/>
    </xf>
    <xf numFmtId="0" fontId="0" fillId="4" borderId="11" xfId="0" quotePrefix="1" applyFill="1" applyBorder="1" applyAlignment="1">
      <alignment horizontal="left" vertical="center" wrapText="1"/>
    </xf>
    <xf numFmtId="166" fontId="0" fillId="4" borderId="11" xfId="0" applyNumberFormat="1" applyFill="1" applyBorder="1" applyAlignment="1">
      <alignment horizontal="right" vertical="center" wrapText="1"/>
    </xf>
    <xf numFmtId="1" fontId="0" fillId="4" borderId="11" xfId="0" applyNumberFormat="1" applyFill="1" applyBorder="1" applyAlignment="1">
      <alignment horizontal="left" vertical="center" wrapText="1"/>
    </xf>
    <xf numFmtId="0" fontId="5" fillId="0" borderId="0" xfId="0" applyFont="1"/>
    <xf numFmtId="0" fontId="7" fillId="0" borderId="0" xfId="0" applyFont="1"/>
    <xf numFmtId="2" fontId="0" fillId="4" borderId="11" xfId="0" applyNumberFormat="1" applyFill="1" applyBorder="1" applyAlignment="1">
      <alignment horizontal="right" vertical="center" wrapText="1"/>
    </xf>
    <xf numFmtId="0" fontId="3" fillId="4" borderId="11" xfId="0" applyFont="1" applyFill="1" applyBorder="1" applyAlignment="1">
      <alignment horizontal="right" vertical="center" wrapText="1"/>
    </xf>
    <xf numFmtId="0" fontId="10" fillId="3" borderId="11" xfId="1" applyFont="1" applyFill="1" applyBorder="1" applyAlignment="1">
      <alignment horizontal="left" vertical="center" wrapText="1"/>
    </xf>
    <xf numFmtId="0" fontId="0" fillId="4" borderId="0" xfId="0" applyFill="1" applyBorder="1" applyAlignment="1">
      <alignment horizontal="left" vertical="center" wrapText="1"/>
    </xf>
    <xf numFmtId="0" fontId="0" fillId="5" borderId="6" xfId="0" applyFont="1" applyFill="1" applyBorder="1" applyAlignment="1">
      <alignment horizontal="left" vertical="center"/>
    </xf>
    <xf numFmtId="0" fontId="0" fillId="3" borderId="2" xfId="0" applyFont="1" applyFill="1" applyBorder="1" applyAlignment="1">
      <alignment horizontal="left" vertical="center"/>
    </xf>
    <xf numFmtId="0" fontId="0" fillId="0" borderId="0" xfId="0" applyFont="1" applyAlignment="1"/>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5" fillId="3" borderId="11" xfId="0" applyFont="1" applyFill="1" applyBorder="1" applyAlignment="1">
      <alignment horizontal="left" vertical="center"/>
    </xf>
    <xf numFmtId="0" fontId="0" fillId="4" borderId="11" xfId="0" applyFont="1" applyFill="1" applyBorder="1" applyAlignment="1">
      <alignment vertical="center" wrapText="1"/>
    </xf>
    <xf numFmtId="1" fontId="0" fillId="4" borderId="11" xfId="0" applyNumberFormat="1" applyFont="1" applyFill="1" applyBorder="1" applyAlignment="1">
      <alignment horizontal="left" vertical="center"/>
    </xf>
    <xf numFmtId="0" fontId="0" fillId="4" borderId="11" xfId="0" applyFont="1" applyFill="1" applyBorder="1" applyAlignment="1">
      <alignment horizontal="right" vertical="center"/>
    </xf>
    <xf numFmtId="1" fontId="5" fillId="0" borderId="0" xfId="0" applyNumberFormat="1" applyFont="1"/>
    <xf numFmtId="1" fontId="0" fillId="4" borderId="0" xfId="0" applyNumberFormat="1" applyFill="1" applyBorder="1" applyAlignment="1">
      <alignment horizontal="left" vertical="center" wrapText="1"/>
    </xf>
    <xf numFmtId="0" fontId="1" fillId="0" borderId="0" xfId="0" applyFont="1" applyAlignment="1">
      <alignment horizontal="right"/>
    </xf>
    <xf numFmtId="165" fontId="0" fillId="0" borderId="0" xfId="2" applyNumberFormat="1" applyFont="1"/>
    <xf numFmtId="1" fontId="0" fillId="4" borderId="0" xfId="0" applyNumberFormat="1" applyFont="1" applyFill="1" applyBorder="1" applyAlignment="1">
      <alignment horizontal="left" vertical="center" wrapText="1"/>
    </xf>
    <xf numFmtId="1" fontId="0" fillId="4" borderId="2" xfId="0" applyNumberFormat="1" applyFont="1" applyFill="1" applyBorder="1" applyAlignment="1">
      <alignment horizontal="left" vertical="center"/>
    </xf>
    <xf numFmtId="166" fontId="0" fillId="0" borderId="0" xfId="0" applyNumberFormat="1" applyBorder="1"/>
    <xf numFmtId="1" fontId="0" fillId="0" borderId="0" xfId="0" applyNumberFormat="1" applyBorder="1"/>
    <xf numFmtId="168" fontId="0" fillId="0" borderId="0" xfId="0" applyNumberFormat="1" applyBorder="1"/>
    <xf numFmtId="0" fontId="0" fillId="3" borderId="11" xfId="0" quotePrefix="1" applyFill="1" applyBorder="1" applyAlignment="1">
      <alignment horizontal="left" vertical="center" wrapText="1"/>
    </xf>
    <xf numFmtId="2" fontId="0" fillId="4" borderId="11" xfId="0" applyNumberFormat="1" applyFill="1" applyBorder="1" applyAlignment="1">
      <alignment horizontal="left" vertical="center" wrapText="1"/>
    </xf>
    <xf numFmtId="43" fontId="0" fillId="0" borderId="0" xfId="2" applyNumberFormat="1" applyFont="1"/>
    <xf numFmtId="170" fontId="0" fillId="0" borderId="0" xfId="2" applyNumberFormat="1" applyFont="1"/>
    <xf numFmtId="0" fontId="0" fillId="4" borderId="0" xfId="0" applyFill="1" applyBorder="1" applyAlignment="1">
      <alignment horizontal="right" vertical="center" wrapText="1"/>
    </xf>
    <xf numFmtId="0" fontId="0" fillId="4" borderId="0" xfId="0" applyFill="1" applyAlignment="1">
      <alignment horizontal="right" vertical="center" wrapText="1"/>
    </xf>
    <xf numFmtId="2" fontId="1" fillId="4" borderId="10" xfId="0" applyNumberFormat="1" applyFont="1" applyFill="1" applyBorder="1" applyAlignment="1">
      <alignment horizontal="right" vertical="center" wrapText="1"/>
    </xf>
    <xf numFmtId="1" fontId="1" fillId="4" borderId="10" xfId="0" applyNumberFormat="1" applyFont="1" applyFill="1" applyBorder="1" applyAlignment="1">
      <alignment horizontal="right" vertical="center" wrapText="1"/>
    </xf>
    <xf numFmtId="1" fontId="0" fillId="4" borderId="11" xfId="0" applyNumberFormat="1" applyFill="1" applyBorder="1" applyAlignment="1">
      <alignment horizontal="right" vertical="center" wrapText="1"/>
    </xf>
    <xf numFmtId="3" fontId="0" fillId="4" borderId="11" xfId="0" applyNumberFormat="1" applyFont="1" applyFill="1" applyBorder="1" applyAlignment="1">
      <alignment horizontal="right" vertical="center" wrapText="1"/>
    </xf>
    <xf numFmtId="0" fontId="1" fillId="4" borderId="1" xfId="0" applyFont="1" applyFill="1" applyBorder="1" applyAlignment="1">
      <alignment horizontal="right" vertical="center" wrapText="1"/>
    </xf>
    <xf numFmtId="0" fontId="0" fillId="4" borderId="11" xfId="0" applyFont="1" applyFill="1" applyBorder="1" applyAlignment="1">
      <alignment horizontal="right" vertical="center" wrapText="1"/>
    </xf>
    <xf numFmtId="0" fontId="0" fillId="4" borderId="0" xfId="0" applyFont="1" applyFill="1" applyBorder="1" applyAlignment="1">
      <alignment horizontal="right" vertical="center" wrapText="1"/>
    </xf>
    <xf numFmtId="1" fontId="0" fillId="4" borderId="2" xfId="0" applyNumberFormat="1" applyFont="1" applyFill="1" applyBorder="1" applyAlignment="1">
      <alignment horizontal="right" vertical="center" wrapText="1"/>
    </xf>
    <xf numFmtId="1" fontId="0" fillId="4" borderId="11" xfId="0" applyNumberFormat="1" applyFont="1" applyFill="1" applyBorder="1" applyAlignment="1">
      <alignment horizontal="right" vertical="center" wrapText="1"/>
    </xf>
    <xf numFmtId="0" fontId="0" fillId="4" borderId="2" xfId="0" applyFont="1" applyFill="1" applyBorder="1" applyAlignment="1">
      <alignment horizontal="right" vertical="center" wrapText="1"/>
    </xf>
    <xf numFmtId="165" fontId="0" fillId="4" borderId="11" xfId="2" applyNumberFormat="1" applyFont="1" applyFill="1" applyBorder="1" applyAlignment="1">
      <alignment horizontal="right" vertical="center" wrapText="1"/>
    </xf>
    <xf numFmtId="165" fontId="0" fillId="4" borderId="0" xfId="2" applyNumberFormat="1" applyFont="1" applyFill="1" applyBorder="1" applyAlignment="1">
      <alignment horizontal="right" vertical="center" wrapText="1"/>
    </xf>
    <xf numFmtId="0" fontId="1" fillId="4" borderId="2"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6" xfId="0" applyFont="1" applyFill="1" applyBorder="1" applyAlignment="1">
      <alignment horizontal="right" vertical="center" wrapText="1"/>
    </xf>
    <xf numFmtId="2" fontId="1" fillId="4" borderId="1" xfId="0" applyNumberFormat="1" applyFont="1" applyFill="1" applyBorder="1" applyAlignment="1">
      <alignment horizontal="right" vertical="center" wrapText="1"/>
    </xf>
    <xf numFmtId="1" fontId="1" fillId="4" borderId="1" xfId="0" applyNumberFormat="1" applyFont="1" applyFill="1" applyBorder="1" applyAlignment="1">
      <alignment horizontal="right" vertical="center" wrapText="1"/>
    </xf>
    <xf numFmtId="2" fontId="0" fillId="4" borderId="11" xfId="0" applyNumberFormat="1" applyFont="1" applyFill="1" applyBorder="1" applyAlignment="1">
      <alignment horizontal="right" vertical="center" wrapText="1"/>
    </xf>
    <xf numFmtId="3" fontId="1" fillId="4" borderId="10" xfId="0" applyNumberFormat="1" applyFont="1" applyFill="1" applyBorder="1" applyAlignment="1">
      <alignment horizontal="right" vertical="center" wrapText="1"/>
    </xf>
    <xf numFmtId="0" fontId="0" fillId="4" borderId="0" xfId="0" applyFill="1" applyAlignment="1">
      <alignment horizontal="left" vertical="center" wrapText="1"/>
    </xf>
    <xf numFmtId="1" fontId="0" fillId="4" borderId="0" xfId="0" applyNumberFormat="1" applyFont="1" applyFill="1" applyBorder="1" applyAlignment="1">
      <alignment horizontal="right" vertical="center" wrapText="1"/>
    </xf>
    <xf numFmtId="164" fontId="0" fillId="4" borderId="11" xfId="0" applyNumberFormat="1" applyFont="1" applyFill="1" applyBorder="1" applyAlignment="1">
      <alignment horizontal="right" vertical="center" wrapText="1"/>
    </xf>
    <xf numFmtId="0" fontId="5" fillId="4" borderId="11" xfId="0" applyFont="1" applyFill="1" applyBorder="1" applyAlignment="1">
      <alignment horizontal="right" vertical="center" wrapText="1"/>
    </xf>
    <xf numFmtId="0" fontId="5" fillId="7" borderId="11" xfId="0" applyFont="1" applyFill="1" applyBorder="1"/>
    <xf numFmtId="0" fontId="16" fillId="0" borderId="0" xfId="1" applyFont="1"/>
    <xf numFmtId="0" fontId="9" fillId="0" borderId="0" xfId="1" applyAlignment="1">
      <alignment vertical="center" wrapText="1"/>
    </xf>
    <xf numFmtId="0" fontId="3" fillId="4" borderId="2" xfId="0" applyFont="1" applyFill="1" applyBorder="1" applyAlignment="1">
      <alignment horizontal="left" vertical="center" wrapText="1"/>
    </xf>
    <xf numFmtId="0" fontId="3" fillId="4" borderId="0" xfId="0" applyFont="1" applyFill="1" applyBorder="1" applyAlignment="1">
      <alignment horizontal="right" vertical="center" wrapText="1"/>
    </xf>
    <xf numFmtId="0" fontId="3" fillId="4" borderId="0" xfId="0" applyFont="1" applyFill="1" applyBorder="1" applyAlignment="1">
      <alignment horizontal="left" vertical="center" wrapText="1"/>
    </xf>
    <xf numFmtId="0" fontId="3" fillId="7" borderId="0" xfId="0" applyFont="1" applyFill="1"/>
    <xf numFmtId="0" fontId="3" fillId="5" borderId="0" xfId="0" applyFont="1" applyFill="1" applyAlignment="1">
      <alignment vertical="top"/>
    </xf>
    <xf numFmtId="0" fontId="3" fillId="3" borderId="0" xfId="0" applyFont="1" applyFill="1" applyBorder="1" applyAlignment="1">
      <alignment horizontal="left" vertical="top" wrapText="1"/>
    </xf>
    <xf numFmtId="0" fontId="17" fillId="0" borderId="0" xfId="1" applyFont="1"/>
    <xf numFmtId="0" fontId="3" fillId="0" borderId="0" xfId="0" applyFont="1"/>
    <xf numFmtId="0" fontId="3" fillId="7" borderId="11" xfId="0" applyFont="1" applyFill="1" applyBorder="1"/>
    <xf numFmtId="0" fontId="3" fillId="5" borderId="1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5" borderId="11" xfId="0" applyFont="1" applyFill="1" applyBorder="1" applyAlignment="1">
      <alignment vertical="top"/>
    </xf>
    <xf numFmtId="1" fontId="3" fillId="4" borderId="11" xfId="0" applyNumberFormat="1" applyFont="1" applyFill="1" applyBorder="1" applyAlignment="1">
      <alignment horizontal="right" vertical="center" wrapText="1"/>
    </xf>
    <xf numFmtId="164" fontId="0" fillId="4" borderId="11" xfId="0" applyNumberFormat="1" applyFill="1" applyBorder="1" applyAlignment="1">
      <alignment horizontal="right" vertical="center" wrapText="1"/>
    </xf>
    <xf numFmtId="164" fontId="0" fillId="4" borderId="0" xfId="0" applyNumberFormat="1" applyFill="1" applyBorder="1" applyAlignment="1">
      <alignment horizontal="right" vertical="center" wrapText="1"/>
    </xf>
    <xf numFmtId="0" fontId="0" fillId="0" borderId="0" xfId="0" applyAlignment="1">
      <alignment horizontal="right"/>
    </xf>
    <xf numFmtId="0" fontId="0" fillId="4" borderId="11" xfId="0" applyFill="1" applyBorder="1" applyAlignment="1">
      <alignment horizontal="right" vertical="center"/>
    </xf>
    <xf numFmtId="0" fontId="3" fillId="7" borderId="0" xfId="0" applyFont="1" applyFill="1" applyAlignment="1">
      <alignment horizontal="center" vertical="center"/>
    </xf>
    <xf numFmtId="0" fontId="3" fillId="7" borderId="11" xfId="0" applyFont="1" applyFill="1" applyBorder="1" applyAlignment="1">
      <alignment horizontal="center" vertical="center"/>
    </xf>
    <xf numFmtId="0" fontId="3" fillId="4" borderId="11" xfId="0" applyFont="1" applyFill="1" applyBorder="1" applyAlignment="1">
      <alignment horizontal="center" vertical="center" wrapText="1"/>
    </xf>
    <xf numFmtId="1" fontId="3" fillId="4" borderId="11" xfId="0" applyNumberFormat="1" applyFont="1" applyFill="1" applyBorder="1" applyAlignment="1">
      <alignment horizontal="left" vertical="center" wrapText="1"/>
    </xf>
    <xf numFmtId="164" fontId="0" fillId="4" borderId="11" xfId="0" applyNumberFormat="1" applyFont="1" applyFill="1" applyBorder="1" applyAlignment="1">
      <alignment horizontal="left" vertical="center"/>
    </xf>
    <xf numFmtId="0" fontId="5" fillId="4" borderId="11" xfId="0" applyFont="1" applyFill="1" applyBorder="1" applyAlignment="1">
      <alignment horizontal="left" vertical="center"/>
    </xf>
    <xf numFmtId="9" fontId="5" fillId="0" borderId="0" xfId="0" applyNumberFormat="1" applyFont="1"/>
    <xf numFmtId="9" fontId="5" fillId="0" borderId="0" xfId="0" applyNumberFormat="1" applyFont="1" applyBorder="1"/>
    <xf numFmtId="164" fontId="5" fillId="0" borderId="0" xfId="0" applyNumberFormat="1" applyFont="1" applyBorder="1"/>
    <xf numFmtId="2" fontId="5" fillId="0" borderId="0" xfId="0" applyNumberFormat="1" applyFont="1"/>
    <xf numFmtId="2" fontId="5" fillId="0" borderId="0" xfId="0" applyNumberFormat="1" applyFont="1" applyBorder="1"/>
    <xf numFmtId="0" fontId="3" fillId="4" borderId="11" xfId="0" applyFont="1" applyFill="1" applyBorder="1" applyAlignment="1">
      <alignment horizontal="left" vertical="center"/>
    </xf>
    <xf numFmtId="0" fontId="3" fillId="5" borderId="11" xfId="0" applyFont="1" applyFill="1" applyBorder="1" applyAlignment="1">
      <alignment horizontal="left" vertical="center"/>
    </xf>
    <xf numFmtId="0" fontId="3" fillId="3" borderId="11" xfId="0" applyFont="1" applyFill="1" applyBorder="1" applyAlignment="1">
      <alignment vertical="top" wrapText="1"/>
    </xf>
    <xf numFmtId="16" fontId="0" fillId="4" borderId="11" xfId="0" quotePrefix="1" applyNumberFormat="1" applyFill="1" applyBorder="1" applyAlignment="1">
      <alignment horizontal="center" vertical="center" wrapText="1"/>
    </xf>
    <xf numFmtId="0" fontId="3" fillId="4" borderId="2" xfId="0" applyFont="1" applyFill="1" applyBorder="1" applyAlignment="1">
      <alignment horizontal="left" vertical="center"/>
    </xf>
    <xf numFmtId="0" fontId="3" fillId="5" borderId="2" xfId="0" applyFont="1" applyFill="1" applyBorder="1" applyAlignment="1">
      <alignment horizontal="left" vertical="center"/>
    </xf>
    <xf numFmtId="164" fontId="0" fillId="4" borderId="2" xfId="0" applyNumberFormat="1" applyFont="1" applyFill="1" applyBorder="1" applyAlignment="1">
      <alignment horizontal="right" vertical="center" wrapText="1"/>
    </xf>
    <xf numFmtId="1" fontId="1" fillId="4" borderId="1" xfId="0" applyNumberFormat="1" applyFont="1" applyFill="1" applyBorder="1" applyAlignment="1">
      <alignment horizontal="left" vertical="center" wrapText="1"/>
    </xf>
    <xf numFmtId="1" fontId="0" fillId="4" borderId="6" xfId="0" applyNumberFormat="1" applyFont="1" applyFill="1" applyBorder="1" applyAlignment="1">
      <alignment horizontal="left" vertical="center" wrapText="1"/>
    </xf>
    <xf numFmtId="0" fontId="0" fillId="4" borderId="12" xfId="0" applyFont="1" applyFill="1" applyBorder="1" applyAlignment="1">
      <alignment horizontal="left" vertical="center" wrapText="1"/>
    </xf>
    <xf numFmtId="1" fontId="0" fillId="4" borderId="0" xfId="0" applyNumberFormat="1" applyFill="1" applyAlignment="1">
      <alignment horizontal="left" vertical="center" wrapText="1"/>
    </xf>
    <xf numFmtId="0" fontId="0" fillId="3" borderId="0" xfId="0" applyFill="1" applyAlignment="1">
      <alignment horizontal="left" vertical="center" wrapText="1"/>
    </xf>
    <xf numFmtId="0" fontId="0" fillId="0" borderId="7" xfId="0" applyBorder="1" applyAlignment="1">
      <alignment horizontal="right"/>
    </xf>
    <xf numFmtId="0" fontId="1" fillId="4" borderId="10" xfId="0" applyFont="1" applyFill="1" applyBorder="1" applyAlignment="1">
      <alignment horizontal="right" vertical="center" wrapText="1"/>
    </xf>
    <xf numFmtId="0" fontId="0" fillId="4" borderId="6" xfId="0" applyFont="1" applyFill="1" applyBorder="1" applyAlignment="1">
      <alignment horizontal="right" vertical="center" wrapText="1"/>
    </xf>
    <xf numFmtId="165" fontId="0" fillId="0" borderId="0" xfId="2" applyNumberFormat="1" applyFont="1" applyAlignment="1">
      <alignment horizontal="right"/>
    </xf>
    <xf numFmtId="166" fontId="0" fillId="4" borderId="11" xfId="0" applyNumberFormat="1" applyFont="1" applyFill="1" applyBorder="1" applyAlignment="1">
      <alignment horizontal="right" vertical="center"/>
    </xf>
    <xf numFmtId="0" fontId="0" fillId="4" borderId="6" xfId="0" applyFont="1" applyFill="1" applyBorder="1" applyAlignment="1">
      <alignment horizontal="right" vertical="center"/>
    </xf>
    <xf numFmtId="2" fontId="0" fillId="4" borderId="0" xfId="0" applyNumberFormat="1" applyFont="1" applyFill="1" applyBorder="1" applyAlignment="1">
      <alignment horizontal="right" vertical="center" wrapText="1"/>
    </xf>
    <xf numFmtId="167" fontId="0" fillId="4" borderId="11" xfId="0" applyNumberFormat="1" applyFont="1" applyFill="1" applyBorder="1" applyAlignment="1">
      <alignment horizontal="right" vertical="center" wrapText="1"/>
    </xf>
    <xf numFmtId="0" fontId="3" fillId="7" borderId="0" xfId="0" applyFont="1" applyFill="1" applyAlignment="1">
      <alignment horizontal="right"/>
    </xf>
    <xf numFmtId="0" fontId="3" fillId="7" borderId="11" xfId="0" applyFont="1" applyFill="1" applyBorder="1" applyAlignment="1">
      <alignment horizontal="right"/>
    </xf>
    <xf numFmtId="1" fontId="0" fillId="0" borderId="0" xfId="0" applyNumberFormat="1" applyAlignment="1">
      <alignment horizontal="right"/>
    </xf>
    <xf numFmtId="0" fontId="0" fillId="7" borderId="11" xfId="0" applyFont="1" applyFill="1" applyBorder="1" applyAlignment="1">
      <alignment horizontal="right"/>
    </xf>
    <xf numFmtId="4" fontId="0" fillId="4" borderId="11" xfId="0" applyNumberFormat="1" applyFont="1" applyFill="1" applyBorder="1" applyAlignment="1">
      <alignment horizontal="right" vertical="center" wrapText="1"/>
    </xf>
    <xf numFmtId="16" fontId="0" fillId="4" borderId="11" xfId="0" quotePrefix="1" applyNumberFormat="1" applyFill="1" applyBorder="1" applyAlignment="1">
      <alignment horizontal="left" vertical="center" wrapText="1"/>
    </xf>
    <xf numFmtId="0" fontId="0" fillId="4" borderId="13" xfId="0" applyFont="1" applyFill="1" applyBorder="1" applyAlignment="1">
      <alignment horizontal="left" vertical="center" wrapText="1"/>
    </xf>
    <xf numFmtId="170" fontId="10" fillId="4" borderId="13" xfId="2" applyNumberFormat="1" applyFont="1" applyFill="1" applyBorder="1" applyAlignment="1">
      <alignment horizontal="left" vertical="center" wrapText="1"/>
    </xf>
    <xf numFmtId="0" fontId="10" fillId="4" borderId="13" xfId="0" applyFont="1" applyFill="1" applyBorder="1" applyAlignment="1">
      <alignment horizontal="left" vertical="center" wrapText="1"/>
    </xf>
    <xf numFmtId="0" fontId="1" fillId="4" borderId="13" xfId="0" applyFont="1" applyFill="1" applyBorder="1" applyAlignment="1">
      <alignment horizontal="right" vertical="center" wrapText="1"/>
    </xf>
    <xf numFmtId="0" fontId="1" fillId="4" borderId="13" xfId="0" applyFont="1" applyFill="1" applyBorder="1" applyAlignment="1">
      <alignment horizontal="left" vertical="center" wrapText="1"/>
    </xf>
    <xf numFmtId="0" fontId="0" fillId="3" borderId="13" xfId="0" applyFont="1" applyFill="1" applyBorder="1" applyAlignment="1">
      <alignment horizontal="left" vertical="center" wrapText="1"/>
    </xf>
    <xf numFmtId="171" fontId="10" fillId="4" borderId="11" xfId="2" applyNumberFormat="1" applyFont="1" applyFill="1" applyBorder="1" applyAlignment="1">
      <alignment horizontal="left" vertical="center" wrapText="1"/>
    </xf>
    <xf numFmtId="0" fontId="10" fillId="4" borderId="11" xfId="0" applyFont="1" applyFill="1" applyBorder="1" applyAlignment="1">
      <alignment horizontal="left" vertical="center" wrapText="1"/>
    </xf>
    <xf numFmtId="170" fontId="1" fillId="4" borderId="11" xfId="0" applyNumberFormat="1" applyFont="1" applyFill="1" applyBorder="1" applyAlignment="1">
      <alignment horizontal="left" vertical="center" wrapText="1"/>
    </xf>
    <xf numFmtId="11" fontId="1" fillId="4" borderId="11" xfId="0" applyNumberFormat="1" applyFont="1" applyFill="1" applyBorder="1" applyAlignment="1">
      <alignment horizontal="left" vertical="center" wrapText="1"/>
    </xf>
    <xf numFmtId="0" fontId="0" fillId="4" borderId="13" xfId="0" applyFill="1" applyBorder="1" applyAlignment="1">
      <alignment vertical="center" wrapText="1"/>
    </xf>
    <xf numFmtId="0" fontId="0" fillId="4" borderId="13" xfId="0" applyFill="1" applyBorder="1" applyAlignment="1">
      <alignment horizontal="left" vertical="center" wrapText="1"/>
    </xf>
    <xf numFmtId="0" fontId="0" fillId="4" borderId="13" xfId="0" applyFill="1" applyBorder="1" applyAlignment="1">
      <alignment horizontal="right" vertical="center" wrapText="1"/>
    </xf>
    <xf numFmtId="0" fontId="0" fillId="3" borderId="13" xfId="0" applyFill="1" applyBorder="1" applyAlignment="1">
      <alignment horizontal="left" vertical="center" wrapText="1"/>
    </xf>
    <xf numFmtId="165" fontId="0" fillId="4" borderId="11" xfId="2" applyNumberFormat="1" applyFont="1" applyFill="1" applyBorder="1" applyAlignment="1">
      <alignment horizontal="left" vertical="center" wrapText="1"/>
    </xf>
    <xf numFmtId="2" fontId="3" fillId="4" borderId="11" xfId="0" applyNumberFormat="1" applyFont="1" applyFill="1" applyBorder="1" applyAlignment="1">
      <alignment horizontal="right" vertical="center" wrapText="1"/>
    </xf>
    <xf numFmtId="0" fontId="0" fillId="4" borderId="14" xfId="0" applyFill="1" applyBorder="1" applyAlignment="1">
      <alignment vertical="center" wrapText="1"/>
    </xf>
    <xf numFmtId="0" fontId="0" fillId="4" borderId="14" xfId="0" applyFill="1" applyBorder="1" applyAlignment="1">
      <alignment horizontal="left" vertical="center" wrapText="1"/>
    </xf>
    <xf numFmtId="2" fontId="3" fillId="4" borderId="14" xfId="0" applyNumberFormat="1" applyFont="1" applyFill="1" applyBorder="1" applyAlignment="1">
      <alignment horizontal="right" vertical="center" wrapText="1"/>
    </xf>
    <xf numFmtId="0" fontId="0" fillId="4" borderId="14" xfId="0" applyFill="1" applyBorder="1" applyAlignment="1">
      <alignment horizontal="right" vertical="center" wrapText="1"/>
    </xf>
    <xf numFmtId="0" fontId="0" fillId="3" borderId="14" xfId="0" applyFill="1" applyBorder="1" applyAlignment="1">
      <alignment horizontal="left" vertical="center" wrapText="1"/>
    </xf>
    <xf numFmtId="3" fontId="0" fillId="4" borderId="13" xfId="0" applyNumberFormat="1" applyFill="1" applyBorder="1" applyAlignment="1">
      <alignment horizontal="right" vertical="center" wrapText="1"/>
    </xf>
    <xf numFmtId="0" fontId="0" fillId="4" borderId="13" xfId="0" applyFill="1" applyBorder="1" applyAlignment="1">
      <alignment horizontal="left" vertical="center"/>
    </xf>
    <xf numFmtId="167" fontId="5" fillId="4" borderId="13" xfId="0" applyNumberFormat="1" applyFont="1" applyFill="1" applyBorder="1" applyAlignment="1">
      <alignment horizontal="right" vertical="center" wrapText="1"/>
    </xf>
    <xf numFmtId="166" fontId="0" fillId="4" borderId="13" xfId="3" applyNumberFormat="1" applyFont="1" applyFill="1" applyBorder="1" applyAlignment="1">
      <alignment horizontal="right" vertical="center" wrapText="1"/>
    </xf>
    <xf numFmtId="0" fontId="0" fillId="5" borderId="13" xfId="0" applyFill="1" applyBorder="1" applyAlignment="1">
      <alignment horizontal="left" vertical="center"/>
    </xf>
    <xf numFmtId="3" fontId="0" fillId="4" borderId="11" xfId="0" applyNumberFormat="1" applyFill="1" applyBorder="1" applyAlignment="1">
      <alignment horizontal="right" vertical="center" wrapText="1"/>
    </xf>
    <xf numFmtId="167" fontId="5" fillId="4" borderId="11" xfId="0" applyNumberFormat="1" applyFont="1" applyFill="1" applyBorder="1" applyAlignment="1">
      <alignment horizontal="right" vertical="center" wrapText="1"/>
    </xf>
    <xf numFmtId="3" fontId="0" fillId="4" borderId="13" xfId="0" applyNumberFormat="1" applyFont="1" applyFill="1" applyBorder="1" applyAlignment="1">
      <alignment horizontal="right" vertical="center" wrapText="1"/>
    </xf>
    <xf numFmtId="0" fontId="0" fillId="4" borderId="14" xfId="0" applyFont="1" applyFill="1" applyBorder="1" applyAlignment="1">
      <alignment horizontal="left" vertical="center" wrapText="1"/>
    </xf>
    <xf numFmtId="3" fontId="0" fillId="4" borderId="14" xfId="0" applyNumberFormat="1" applyFill="1" applyBorder="1" applyAlignment="1">
      <alignment horizontal="right" vertical="center" wrapText="1"/>
    </xf>
    <xf numFmtId="0" fontId="1" fillId="4" borderId="14" xfId="0" applyFont="1" applyFill="1" applyBorder="1" applyAlignment="1">
      <alignment horizontal="right" vertical="center" wrapText="1"/>
    </xf>
    <xf numFmtId="0" fontId="1" fillId="4" borderId="14" xfId="0" applyFont="1" applyFill="1" applyBorder="1" applyAlignment="1">
      <alignment horizontal="left" vertical="center" wrapText="1"/>
    </xf>
    <xf numFmtId="3" fontId="0" fillId="4" borderId="14" xfId="0" applyNumberFormat="1" applyFont="1" applyFill="1" applyBorder="1" applyAlignment="1">
      <alignment horizontal="right" vertical="center" wrapText="1"/>
    </xf>
    <xf numFmtId="0" fontId="0" fillId="5" borderId="14" xfId="0" applyFont="1" applyFill="1" applyBorder="1" applyAlignment="1">
      <alignment horizontal="left" vertical="center"/>
    </xf>
    <xf numFmtId="0" fontId="1" fillId="3" borderId="14" xfId="0" applyFont="1" applyFill="1" applyBorder="1" applyAlignment="1">
      <alignment horizontal="left" vertical="center" wrapText="1"/>
    </xf>
    <xf numFmtId="0" fontId="0" fillId="4" borderId="13" xfId="0" applyFont="1" applyFill="1" applyBorder="1" applyAlignment="1">
      <alignment vertical="center" wrapText="1"/>
    </xf>
    <xf numFmtId="1" fontId="0" fillId="4" borderId="13" xfId="0" applyNumberFormat="1" applyFont="1" applyFill="1" applyBorder="1" applyAlignment="1">
      <alignment horizontal="right" vertical="center" wrapText="1"/>
    </xf>
    <xf numFmtId="0" fontId="0" fillId="4" borderId="13" xfId="0" applyFont="1" applyFill="1" applyBorder="1" applyAlignment="1">
      <alignment horizontal="right" vertical="center" wrapText="1"/>
    </xf>
    <xf numFmtId="0" fontId="0" fillId="5" borderId="13" xfId="0" applyFont="1" applyFill="1" applyBorder="1" applyAlignment="1">
      <alignment horizontal="left" vertical="center"/>
    </xf>
    <xf numFmtId="0" fontId="1" fillId="4" borderId="11" xfId="0" applyFont="1" applyFill="1" applyBorder="1" applyAlignment="1">
      <alignment vertical="center" wrapText="1"/>
    </xf>
    <xf numFmtId="0" fontId="1" fillId="4" borderId="14" xfId="0" applyFont="1" applyFill="1" applyBorder="1" applyAlignment="1">
      <alignment vertical="center" wrapText="1"/>
    </xf>
    <xf numFmtId="0" fontId="0" fillId="4" borderId="13" xfId="0" applyFont="1" applyFill="1" applyBorder="1" applyAlignment="1">
      <alignment horizontal="left" vertical="center"/>
    </xf>
    <xf numFmtId="0" fontId="1" fillId="3" borderId="13" xfId="0" applyFont="1" applyFill="1" applyBorder="1" applyAlignment="1">
      <alignment horizontal="left" vertical="center" wrapText="1"/>
    </xf>
    <xf numFmtId="9" fontId="0" fillId="4" borderId="11" xfId="0" applyNumberFormat="1" applyFont="1" applyFill="1" applyBorder="1" applyAlignment="1">
      <alignment horizontal="right" vertical="center" wrapText="1"/>
    </xf>
    <xf numFmtId="0" fontId="0" fillId="4" borderId="11" xfId="0" applyNumberFormat="1" applyFont="1" applyFill="1" applyBorder="1" applyAlignment="1">
      <alignment horizontal="right" vertical="center" wrapText="1"/>
    </xf>
    <xf numFmtId="0" fontId="0" fillId="4" borderId="12" xfId="0" applyFont="1" applyFill="1" applyBorder="1" applyAlignment="1">
      <alignment vertical="center" wrapText="1"/>
    </xf>
    <xf numFmtId="3" fontId="0" fillId="4" borderId="12" xfId="0" applyNumberFormat="1" applyFill="1" applyBorder="1" applyAlignment="1">
      <alignment horizontal="right" vertical="center" wrapText="1"/>
    </xf>
    <xf numFmtId="0" fontId="0" fillId="4" borderId="12" xfId="0" applyFont="1" applyFill="1" applyBorder="1" applyAlignment="1">
      <alignment horizontal="left" vertical="center"/>
    </xf>
    <xf numFmtId="0" fontId="1" fillId="4" borderId="12" xfId="0" applyFont="1" applyFill="1" applyBorder="1" applyAlignment="1">
      <alignment horizontal="right" vertical="center" wrapText="1"/>
    </xf>
    <xf numFmtId="0" fontId="1" fillId="4" borderId="12" xfId="0" applyFont="1" applyFill="1" applyBorder="1" applyAlignment="1">
      <alignment horizontal="left" vertical="center" wrapText="1"/>
    </xf>
    <xf numFmtId="0" fontId="0" fillId="4" borderId="12" xfId="0" applyFont="1" applyFill="1" applyBorder="1" applyAlignment="1">
      <alignment horizontal="right" vertical="center" wrapText="1"/>
    </xf>
    <xf numFmtId="0" fontId="0" fillId="5" borderId="12" xfId="0" applyFont="1" applyFill="1" applyBorder="1" applyAlignment="1">
      <alignment horizontal="left" vertical="center"/>
    </xf>
    <xf numFmtId="0" fontId="0" fillId="3" borderId="12" xfId="0" applyFont="1" applyFill="1" applyBorder="1" applyAlignment="1">
      <alignment horizontal="left" vertical="center" wrapText="1"/>
    </xf>
    <xf numFmtId="0" fontId="0" fillId="0" borderId="0" xfId="0" applyAlignment="1">
      <alignment wrapText="1"/>
    </xf>
    <xf numFmtId="0" fontId="0" fillId="6" borderId="7" xfId="0" applyFill="1" applyBorder="1" applyAlignment="1">
      <alignment wrapText="1"/>
    </xf>
    <xf numFmtId="0" fontId="0" fillId="5" borderId="14" xfId="0" applyFill="1" applyBorder="1" applyAlignment="1">
      <alignment horizontal="left" vertical="center"/>
    </xf>
    <xf numFmtId="0" fontId="1" fillId="5" borderId="11" xfId="0" applyFont="1" applyFill="1" applyBorder="1" applyAlignment="1">
      <alignment horizontal="left" vertical="center"/>
    </xf>
    <xf numFmtId="0" fontId="1" fillId="5" borderId="14" xfId="0" applyFont="1" applyFill="1" applyBorder="1" applyAlignment="1">
      <alignment horizontal="left" vertical="center"/>
    </xf>
    <xf numFmtId="0" fontId="0" fillId="4" borderId="0" xfId="0" applyFill="1" applyAlignment="1">
      <alignment horizontal="left" vertical="center" wrapText="1"/>
    </xf>
    <xf numFmtId="0" fontId="0" fillId="4" borderId="0" xfId="0" applyFill="1" applyAlignment="1">
      <alignment horizontal="left" vertical="center" wrapText="1"/>
    </xf>
    <xf numFmtId="2" fontId="3" fillId="7" borderId="0" xfId="0" applyNumberFormat="1" applyFont="1" applyFill="1" applyAlignment="1">
      <alignment horizontal="right"/>
    </xf>
    <xf numFmtId="2" fontId="0" fillId="4" borderId="11" xfId="0" applyNumberFormat="1" applyFont="1" applyFill="1" applyBorder="1" applyAlignment="1">
      <alignment horizontal="right" vertical="center"/>
    </xf>
    <xf numFmtId="1" fontId="3" fillId="7" borderId="0" xfId="0" applyNumberFormat="1" applyFont="1" applyFill="1" applyAlignment="1">
      <alignment horizontal="right"/>
    </xf>
    <xf numFmtId="1" fontId="0" fillId="4" borderId="11" xfId="0" applyNumberFormat="1" applyFont="1" applyFill="1" applyBorder="1" applyAlignment="1">
      <alignment horizontal="right" vertical="center"/>
    </xf>
    <xf numFmtId="0" fontId="0" fillId="4" borderId="12" xfId="0" applyFill="1" applyBorder="1" applyAlignment="1">
      <alignment vertical="center" wrapText="1"/>
    </xf>
    <xf numFmtId="1" fontId="3" fillId="4" borderId="12" xfId="0" applyNumberFormat="1" applyFont="1" applyFill="1" applyBorder="1" applyAlignment="1">
      <alignment horizontal="right" vertical="center" wrapText="1"/>
    </xf>
    <xf numFmtId="0" fontId="3" fillId="4" borderId="12" xfId="0" applyFont="1" applyFill="1" applyBorder="1" applyAlignment="1">
      <alignment horizontal="left" vertical="center" wrapText="1"/>
    </xf>
    <xf numFmtId="0" fontId="0" fillId="4" borderId="12" xfId="0" applyFont="1" applyFill="1" applyBorder="1" applyAlignment="1">
      <alignment horizontal="right" vertical="center"/>
    </xf>
    <xf numFmtId="0" fontId="0" fillId="4" borderId="12" xfId="0" applyFill="1" applyBorder="1" applyAlignment="1">
      <alignment horizontal="left" vertical="center" wrapText="1"/>
    </xf>
    <xf numFmtId="0" fontId="3" fillId="4" borderId="12" xfId="0" applyFont="1" applyFill="1" applyBorder="1" applyAlignment="1">
      <alignment horizontal="center" vertical="center" wrapText="1"/>
    </xf>
    <xf numFmtId="0" fontId="0" fillId="5" borderId="12" xfId="0" applyFill="1" applyBorder="1" applyAlignment="1">
      <alignment horizontal="left" vertical="center"/>
    </xf>
    <xf numFmtId="0" fontId="10" fillId="3" borderId="12" xfId="1"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0" fillId="4" borderId="11" xfId="0" quotePrefix="1" applyFill="1" applyBorder="1" applyAlignment="1">
      <alignment horizontal="right" vertical="center" wrapText="1"/>
    </xf>
    <xf numFmtId="43" fontId="0" fillId="4" borderId="0" xfId="0" applyNumberFormat="1" applyFont="1" applyFill="1" applyBorder="1" applyAlignment="1">
      <alignment horizontal="right" vertical="center" wrapText="1"/>
    </xf>
    <xf numFmtId="0" fontId="0" fillId="4" borderId="11" xfId="0" quotePrefix="1" applyFont="1" applyFill="1" applyBorder="1" applyAlignment="1">
      <alignment horizontal="left" vertical="center" wrapText="1"/>
    </xf>
    <xf numFmtId="0" fontId="0" fillId="0" borderId="0" xfId="0" applyAlignment="1">
      <alignment horizontal="left"/>
    </xf>
    <xf numFmtId="169" fontId="0" fillId="0" borderId="0" xfId="3" applyNumberFormat="1" applyFont="1" applyAlignment="1">
      <alignment horizontal="left"/>
    </xf>
    <xf numFmtId="0" fontId="0" fillId="0" borderId="7" xfId="0" applyBorder="1" applyAlignment="1">
      <alignment horizontal="left"/>
    </xf>
    <xf numFmtId="0" fontId="0" fillId="4" borderId="0" xfId="0" quotePrefix="1" applyFont="1" applyFill="1" applyBorder="1" applyAlignment="1">
      <alignment horizontal="left" vertical="center" wrapText="1"/>
    </xf>
    <xf numFmtId="166" fontId="0" fillId="4" borderId="0" xfId="0" applyNumberFormat="1" applyFont="1" applyFill="1" applyBorder="1" applyAlignment="1">
      <alignment horizontal="right" vertical="center" wrapText="1"/>
    </xf>
    <xf numFmtId="172" fontId="0" fillId="4" borderId="11" xfId="0" applyNumberFormat="1" applyFont="1" applyFill="1" applyBorder="1" applyAlignment="1">
      <alignment horizontal="right" vertical="center" wrapText="1"/>
    </xf>
    <xf numFmtId="166" fontId="0" fillId="4" borderId="11" xfId="0" applyNumberFormat="1" applyFont="1" applyFill="1" applyBorder="1" applyAlignment="1">
      <alignment horizontal="right" vertical="center" wrapText="1"/>
    </xf>
    <xf numFmtId="0" fontId="0" fillId="4" borderId="2" xfId="0" quotePrefix="1" applyFont="1" applyFill="1" applyBorder="1" applyAlignment="1">
      <alignment horizontal="left" vertical="center" wrapText="1"/>
    </xf>
    <xf numFmtId="166" fontId="0" fillId="4" borderId="2" xfId="0" applyNumberFormat="1" applyFont="1" applyFill="1" applyBorder="1" applyAlignment="1">
      <alignment horizontal="right" vertical="center" wrapText="1"/>
    </xf>
    <xf numFmtId="173" fontId="0" fillId="4" borderId="11"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0" xfId="0" applyFont="1" applyFill="1" applyBorder="1" applyAlignment="1">
      <alignment vertical="center" wrapText="1"/>
    </xf>
    <xf numFmtId="0" fontId="0" fillId="0" borderId="1" xfId="0" applyFont="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horizontal="left" vertical="center" wrapText="1"/>
    </xf>
    <xf numFmtId="0" fontId="0" fillId="0" borderId="6" xfId="0" applyFont="1" applyBorder="1" applyAlignment="1">
      <alignment horizontal="left" vertical="center" wrapText="1"/>
    </xf>
    <xf numFmtId="0" fontId="0" fillId="4" borderId="2" xfId="0" applyFont="1" applyFill="1" applyBorder="1" applyAlignment="1">
      <alignment vertical="center" wrapText="1"/>
    </xf>
    <xf numFmtId="0" fontId="0" fillId="4" borderId="4" xfId="0" applyFont="1" applyFill="1" applyBorder="1" applyAlignment="1">
      <alignment vertical="center" wrapText="1"/>
    </xf>
    <xf numFmtId="0" fontId="0" fillId="0" borderId="2" xfId="0" applyFont="1" applyFill="1" applyBorder="1" applyAlignment="1">
      <alignment vertical="center" wrapText="1"/>
    </xf>
    <xf numFmtId="0" fontId="0" fillId="0" borderId="9" xfId="0" applyFont="1" applyFill="1" applyBorder="1" applyAlignment="1">
      <alignment horizontal="left" vertical="center" wrapText="1"/>
    </xf>
    <xf numFmtId="0" fontId="1" fillId="0" borderId="1" xfId="0" applyFont="1" applyBorder="1" applyAlignment="1">
      <alignment horizontal="center" vertical="center"/>
    </xf>
    <xf numFmtId="0" fontId="1" fillId="4" borderId="0" xfId="0" applyFont="1" applyFill="1" applyBorder="1" applyAlignment="1">
      <alignment horizontal="center" vertical="center"/>
    </xf>
    <xf numFmtId="0" fontId="0" fillId="0" borderId="9" xfId="0" applyFont="1" applyBorder="1" applyAlignment="1">
      <alignment horizontal="left" vertical="center" wrapText="1"/>
    </xf>
    <xf numFmtId="0" fontId="0" fillId="8" borderId="0" xfId="0" applyFont="1" applyFill="1"/>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8" fillId="4" borderId="1" xfId="0" applyFont="1" applyFill="1" applyBorder="1" applyAlignment="1">
      <alignment horizontal="left" vertical="center" wrapText="1"/>
    </xf>
    <xf numFmtId="0" fontId="0" fillId="4" borderId="13" xfId="0" applyNumberFormat="1" applyFill="1" applyBorder="1" applyAlignment="1">
      <alignment horizontal="left" vertical="center" wrapText="1"/>
    </xf>
    <xf numFmtId="0" fontId="0" fillId="4" borderId="11" xfId="0" applyNumberFormat="1" applyFill="1" applyBorder="1" applyAlignment="1">
      <alignment horizontal="left" vertical="center" wrapText="1"/>
    </xf>
    <xf numFmtId="0" fontId="0" fillId="9" borderId="0" xfId="0" applyFill="1"/>
    <xf numFmtId="0" fontId="0" fillId="5" borderId="0" xfId="0" applyFill="1" applyAlignment="1">
      <alignment horizontal="left" vertical="center"/>
    </xf>
    <xf numFmtId="0" fontId="17" fillId="5" borderId="11" xfId="1" applyFont="1" applyFill="1" applyBorder="1" applyAlignment="1">
      <alignment horizontal="left" vertical="center"/>
    </xf>
    <xf numFmtId="0" fontId="3" fillId="4" borderId="11" xfId="0" applyFont="1" applyFill="1" applyBorder="1" applyAlignment="1">
      <alignment vertical="center" wrapText="1"/>
    </xf>
    <xf numFmtId="174" fontId="0" fillId="0" borderId="0" xfId="3" applyNumberFormat="1" applyFont="1"/>
    <xf numFmtId="164" fontId="0" fillId="0" borderId="0" xfId="0" applyNumberFormat="1" applyBorder="1"/>
    <xf numFmtId="1" fontId="3" fillId="0" borderId="0" xfId="0" applyNumberFormat="1" applyFont="1"/>
    <xf numFmtId="164" fontId="3" fillId="0" borderId="0" xfId="0" applyNumberFormat="1" applyFont="1" applyBorder="1"/>
    <xf numFmtId="0" fontId="3" fillId="0" borderId="0" xfId="0" applyFont="1" applyBorder="1"/>
    <xf numFmtId="1" fontId="3" fillId="0" borderId="0" xfId="0" applyNumberFormat="1" applyFont="1" applyBorder="1"/>
    <xf numFmtId="166" fontId="3" fillId="0" borderId="0" xfId="0" applyNumberFormat="1" applyFont="1" applyBorder="1"/>
    <xf numFmtId="0" fontId="8" fillId="0" borderId="0" xfId="0" applyFont="1" applyAlignment="1">
      <alignment horizontal="right"/>
    </xf>
    <xf numFmtId="166" fontId="3" fillId="0" borderId="0" xfId="0" applyNumberFormat="1" applyFont="1"/>
    <xf numFmtId="168" fontId="3" fillId="0" borderId="0" xfId="0" applyNumberFormat="1" applyFont="1"/>
    <xf numFmtId="165" fontId="3" fillId="0" borderId="0" xfId="2" applyNumberFormat="1" applyFont="1"/>
    <xf numFmtId="0" fontId="0" fillId="0" borderId="7" xfId="0" applyBorder="1" applyAlignment="1">
      <alignment wrapText="1"/>
    </xf>
    <xf numFmtId="0" fontId="0" fillId="4" borderId="0" xfId="0" applyFont="1" applyFill="1" applyBorder="1" applyAlignment="1">
      <alignment horizontal="left" vertical="center"/>
    </xf>
    <xf numFmtId="0" fontId="0" fillId="0" borderId="0" xfId="0" applyFill="1"/>
    <xf numFmtId="0" fontId="19" fillId="9" borderId="0" xfId="0" applyFont="1" applyFill="1"/>
    <xf numFmtId="1" fontId="1" fillId="0" borderId="0" xfId="0" applyNumberFormat="1" applyFont="1" applyBorder="1"/>
    <xf numFmtId="0" fontId="9" fillId="4" borderId="0" xfId="1" applyFill="1" applyBorder="1" applyAlignment="1">
      <alignment vertical="center"/>
    </xf>
    <xf numFmtId="0" fontId="9" fillId="0" borderId="1" xfId="1" applyBorder="1" applyAlignment="1">
      <alignment vertical="center" wrapText="1"/>
    </xf>
    <xf numFmtId="0" fontId="0" fillId="10" borderId="0" xfId="0" applyFill="1"/>
    <xf numFmtId="14" fontId="0" fillId="10" borderId="0" xfId="0" applyNumberFormat="1" applyFill="1"/>
    <xf numFmtId="0" fontId="0" fillId="9" borderId="0" xfId="0" applyFill="1" applyAlignment="1">
      <alignment vertical="top" wrapText="1"/>
    </xf>
    <xf numFmtId="0" fontId="21" fillId="9" borderId="0" xfId="0" applyFont="1" applyFill="1" applyAlignment="1">
      <alignment vertical="top"/>
    </xf>
    <xf numFmtId="0" fontId="0" fillId="9" borderId="0" xfId="0" applyFill="1" applyAlignment="1">
      <alignment horizontal="left" vertical="top" wrapText="1"/>
    </xf>
    <xf numFmtId="0" fontId="0" fillId="9" borderId="0" xfId="0" applyFont="1" applyFill="1" applyAlignment="1">
      <alignment horizontal="left" vertical="top" wrapText="1"/>
    </xf>
    <xf numFmtId="0" fontId="1" fillId="4" borderId="2"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9" fillId="4" borderId="2" xfId="1" applyFill="1" applyBorder="1" applyAlignment="1">
      <alignment vertical="center" wrapText="1"/>
    </xf>
    <xf numFmtId="0" fontId="9" fillId="4" borderId="0" xfId="1" applyFill="1" applyAlignment="1">
      <alignment vertical="center" wrapText="1"/>
    </xf>
    <xf numFmtId="0" fontId="9" fillId="4" borderId="6" xfId="1" applyFill="1" applyBorder="1" applyAlignment="1">
      <alignment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9" fillId="0" borderId="2" xfId="1" applyBorder="1" applyAlignment="1">
      <alignment vertical="center" wrapText="1"/>
    </xf>
    <xf numFmtId="0" fontId="9" fillId="0" borderId="6" xfId="1" applyBorder="1" applyAlignment="1">
      <alignment vertical="center" wrapText="1"/>
    </xf>
    <xf numFmtId="0" fontId="9" fillId="0" borderId="8" xfId="1" applyFill="1" applyBorder="1" applyAlignment="1">
      <alignment vertical="center" wrapText="1"/>
    </xf>
    <xf numFmtId="0" fontId="9" fillId="0" borderId="0" xfId="1" applyFill="1" applyBorder="1" applyAlignment="1">
      <alignment vertical="center" wrapText="1"/>
    </xf>
    <xf numFmtId="0" fontId="9" fillId="0" borderId="6" xfId="1" applyFill="1" applyBorder="1" applyAlignment="1">
      <alignmen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0" xfId="1" applyBorder="1" applyAlignment="1">
      <alignment vertical="center" wrapText="1"/>
    </xf>
    <xf numFmtId="0" fontId="1" fillId="0" borderId="0" xfId="0" applyFont="1" applyBorder="1" applyAlignment="1">
      <alignment horizontal="center"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35718</xdr:colOff>
      <xdr:row>39</xdr:row>
      <xdr:rowOff>47624</xdr:rowOff>
    </xdr:from>
    <xdr:to>
      <xdr:col>25</xdr:col>
      <xdr:colOff>118824</xdr:colOff>
      <xdr:row>42</xdr:row>
      <xdr:rowOff>146600</xdr:rowOff>
    </xdr:to>
    <xdr:pic>
      <xdr:nvPicPr>
        <xdr:cNvPr id="4" name="Picture 3">
          <a:extLst>
            <a:ext uri="{FF2B5EF4-FFF2-40B4-BE49-F238E27FC236}">
              <a16:creationId xmlns:a16="http://schemas.microsoft.com/office/drawing/2014/main" id="{B3768A3C-1B16-4745-AF83-E628A657226C}"/>
            </a:ext>
          </a:extLst>
        </xdr:cNvPr>
        <xdr:cNvPicPr>
          <a:picLocks noChangeAspect="1"/>
        </xdr:cNvPicPr>
      </xdr:nvPicPr>
      <xdr:blipFill>
        <a:blip xmlns:r="http://schemas.openxmlformats.org/officeDocument/2006/relationships" r:embed="rId1"/>
        <a:stretch>
          <a:fillRect/>
        </a:stretch>
      </xdr:blipFill>
      <xdr:spPr>
        <a:xfrm>
          <a:off x="12977812" y="7441405"/>
          <a:ext cx="1904762" cy="67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3" name="Picture 2">
          <a:extLst>
            <a:ext uri="{FF2B5EF4-FFF2-40B4-BE49-F238E27FC236}">
              <a16:creationId xmlns:a16="http://schemas.microsoft.com/office/drawing/2014/main" id="{DE03519D-FB8A-4191-835B-24B7705DF13C}"/>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4" name="Picture 3">
          <a:extLst>
            <a:ext uri="{FF2B5EF4-FFF2-40B4-BE49-F238E27FC236}">
              <a16:creationId xmlns:a16="http://schemas.microsoft.com/office/drawing/2014/main" id="{7359A9BE-8E89-4BC0-A49C-E4521A49DC4E}"/>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3" name="Picture 2">
          <a:extLst>
            <a:ext uri="{FF2B5EF4-FFF2-40B4-BE49-F238E27FC236}">
              <a16:creationId xmlns:a16="http://schemas.microsoft.com/office/drawing/2014/main" id="{FE016E57-D641-4C10-8A6C-C05CBBEBAFF3}"/>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4" name="Picture 3">
          <a:extLst>
            <a:ext uri="{FF2B5EF4-FFF2-40B4-BE49-F238E27FC236}">
              <a16:creationId xmlns:a16="http://schemas.microsoft.com/office/drawing/2014/main" id="{3A49244A-68BD-45D1-A11F-AD1268E313F7}"/>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3" name="Picture 2">
          <a:extLst>
            <a:ext uri="{FF2B5EF4-FFF2-40B4-BE49-F238E27FC236}">
              <a16:creationId xmlns:a16="http://schemas.microsoft.com/office/drawing/2014/main" id="{58D914F1-2370-45A1-BD4E-F2742B87C3AB}"/>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3" name="Picture 2">
          <a:extLst>
            <a:ext uri="{FF2B5EF4-FFF2-40B4-BE49-F238E27FC236}">
              <a16:creationId xmlns:a16="http://schemas.microsoft.com/office/drawing/2014/main" id="{96B78C27-9A84-4BB1-A8A7-97458DD87654}"/>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3" name="Picture 2">
          <a:extLst>
            <a:ext uri="{FF2B5EF4-FFF2-40B4-BE49-F238E27FC236}">
              <a16:creationId xmlns:a16="http://schemas.microsoft.com/office/drawing/2014/main" id="{2FA55720-F981-4544-8D8A-AB96C3D07E42}"/>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1904762</xdr:colOff>
      <xdr:row>3</xdr:row>
      <xdr:rowOff>98976</xdr:rowOff>
    </xdr:to>
    <xdr:pic>
      <xdr:nvPicPr>
        <xdr:cNvPr id="3" name="Picture 2">
          <a:extLst>
            <a:ext uri="{FF2B5EF4-FFF2-40B4-BE49-F238E27FC236}">
              <a16:creationId xmlns:a16="http://schemas.microsoft.com/office/drawing/2014/main" id="{183DD00C-7EC4-4ED0-A869-F3DBA35FF58E}"/>
            </a:ext>
          </a:extLst>
        </xdr:cNvPr>
        <xdr:cNvPicPr>
          <a:picLocks noChangeAspect="1"/>
        </xdr:cNvPicPr>
      </xdr:nvPicPr>
      <xdr:blipFill>
        <a:blip xmlns:r="http://schemas.openxmlformats.org/officeDocument/2006/relationships" r:embed="rId1"/>
        <a:stretch>
          <a:fillRect/>
        </a:stretch>
      </xdr:blipFill>
      <xdr:spPr>
        <a:xfrm>
          <a:off x="0" y="0"/>
          <a:ext cx="1904762" cy="6704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MOU Laurent (Elengy)" id="{3DD70A2B-62F7-4042-A90D-C258CE355940}" userId="S::laurent.hamou_elengy.com#ext#@dnv.onmicrosoft.com::fa1c0dbb-a337-4a38-9afd-b0141cf1f16f" providerId="AD"/>
</personList>
</file>

<file path=xl/theme/theme1.xml><?xml version="1.0" encoding="utf-8"?>
<a:theme xmlns:a="http://schemas.openxmlformats.org/drawingml/2006/main" name="Office Theme">
  <a:themeElements>
    <a:clrScheme name="DNV powerpoint">
      <a:dk1>
        <a:srgbClr val="333333"/>
      </a:dk1>
      <a:lt1>
        <a:srgbClr val="FFFFFF"/>
      </a:lt1>
      <a:dk2>
        <a:srgbClr val="0F204B"/>
      </a:dk2>
      <a:lt2>
        <a:srgbClr val="C8C8C8"/>
      </a:lt2>
      <a:accent1>
        <a:srgbClr val="99D6F0"/>
      </a:accent1>
      <a:accent2>
        <a:srgbClr val="3F9C35"/>
      </a:accent2>
      <a:accent3>
        <a:srgbClr val="003591"/>
      </a:accent3>
      <a:accent4>
        <a:srgbClr val="009FDA"/>
      </a:accent4>
      <a:accent5>
        <a:srgbClr val="66C5E9"/>
      </a:accent5>
      <a:accent6>
        <a:srgbClr val="FECB00"/>
      </a:accent6>
      <a:hlink>
        <a:srgbClr val="003591"/>
      </a:hlink>
      <a:folHlink>
        <a:srgbClr val="6E50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6" dT="2020-08-26T12:28:10.59" personId="{3DD70A2B-62F7-4042-A90D-C258CE355940}" id="{CFFAE89F-6986-4AAB-ACED-D0186D5E445E}">
    <text>What would be useful is the energy consumed to bring hydrogen to 350 or 700 bar, which is a different presentation from the VOM below</text>
  </threadedComment>
  <threadedComment ref="N23" dT="2020-08-26T12:35:35.11" personId="{3DD70A2B-62F7-4042-A90D-C258CE355940}" id="{651D8010-0C41-48EA-9341-986AF5DC8B62}">
    <text xml:space="preserve">I would be interested by knowing the loss due to compression needed. It's very low for methane pipe (0,8% in the French transport network from memory), but as the hydrogen is moving faster, is it of the same order of magnitude ?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hydrogencouncil.com/wp-content/uploads/2020/01/Path-to-Hydrogen-Competitiveness_Full-Study-1.pdf" TargetMode="External"/><Relationship Id="rId6" Type="http://schemas.microsoft.com/office/2017/10/relationships/threadedComment" Target="../threadedComments/threadedComment1.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hydrogenious.net/index.php/en/products/thereleaseun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5FB87-6C10-421E-BBCB-8A114D2702BF}">
  <dimension ref="A1:Z69"/>
  <sheetViews>
    <sheetView showGridLines="0" tabSelected="1" zoomScale="80" zoomScaleNormal="80" workbookViewId="0">
      <selection activeCell="W35" sqref="W35"/>
    </sheetView>
  </sheetViews>
  <sheetFormatPr defaultColWidth="0" defaultRowHeight="15" zeroHeight="1" x14ac:dyDescent="0.25"/>
  <cols>
    <col min="1" max="1" width="2.85546875" customWidth="1"/>
    <col min="2" max="25" width="9.140625" customWidth="1"/>
    <col min="26" max="26" width="2.85546875" customWidth="1"/>
    <col min="27" max="16384" width="9.140625" hidden="1"/>
  </cols>
  <sheetData>
    <row r="1" spans="2:25" x14ac:dyDescent="0.25"/>
    <row r="2" spans="2:25" x14ac:dyDescent="0.25">
      <c r="B2" s="307"/>
      <c r="C2" s="307"/>
      <c r="D2" s="307"/>
      <c r="E2" s="307"/>
      <c r="F2" s="307"/>
      <c r="G2" s="307"/>
      <c r="H2" s="307"/>
      <c r="I2" s="307"/>
      <c r="J2" s="307"/>
      <c r="K2" s="307"/>
      <c r="L2" s="307"/>
      <c r="M2" s="307"/>
      <c r="N2" s="307"/>
      <c r="O2" s="307"/>
      <c r="P2" s="307"/>
      <c r="Q2" s="307"/>
      <c r="R2" s="307"/>
      <c r="S2" s="307"/>
      <c r="T2" s="307"/>
      <c r="U2" s="307"/>
      <c r="V2" s="307"/>
      <c r="W2" s="307"/>
      <c r="X2" s="307"/>
      <c r="Y2" s="307"/>
    </row>
    <row r="3" spans="2:25" x14ac:dyDescent="0.25">
      <c r="B3" s="307"/>
      <c r="C3" s="307"/>
      <c r="D3" s="307"/>
      <c r="E3" s="307"/>
      <c r="F3" s="307"/>
      <c r="G3" s="307"/>
      <c r="H3" s="307"/>
      <c r="I3" s="307"/>
      <c r="J3" s="307"/>
      <c r="K3" s="307"/>
      <c r="L3" s="307"/>
      <c r="M3" s="307"/>
      <c r="N3" s="307"/>
      <c r="O3" s="307"/>
      <c r="P3" s="307"/>
      <c r="Q3" s="307"/>
      <c r="R3" s="307"/>
      <c r="S3" s="307"/>
      <c r="T3" s="307"/>
      <c r="U3" s="307"/>
      <c r="V3" s="307"/>
      <c r="W3" s="307"/>
      <c r="X3" s="307"/>
      <c r="Y3" s="307"/>
    </row>
    <row r="4" spans="2:25" x14ac:dyDescent="0.25">
      <c r="B4" s="307"/>
      <c r="C4" s="307"/>
      <c r="D4" s="307"/>
      <c r="E4" s="307"/>
      <c r="F4" s="307"/>
      <c r="G4" s="307"/>
      <c r="H4" s="307"/>
      <c r="I4" s="307"/>
      <c r="J4" s="307"/>
      <c r="K4" s="307"/>
      <c r="L4" s="307"/>
      <c r="M4" s="307"/>
      <c r="N4" s="307"/>
      <c r="O4" s="307"/>
      <c r="P4" s="307"/>
      <c r="Q4" s="307"/>
      <c r="R4" s="307"/>
      <c r="S4" s="307"/>
      <c r="T4" s="307"/>
      <c r="U4" s="307"/>
      <c r="V4" s="307"/>
      <c r="W4" s="307"/>
      <c r="X4" s="307"/>
      <c r="Y4" s="307"/>
    </row>
    <row r="5" spans="2:25" x14ac:dyDescent="0.25">
      <c r="B5" s="307"/>
      <c r="C5" s="307"/>
      <c r="D5" s="307"/>
      <c r="E5" s="307"/>
      <c r="F5" s="307"/>
      <c r="G5" s="307"/>
      <c r="H5" s="307"/>
      <c r="I5" s="307"/>
      <c r="J5" s="307"/>
      <c r="K5" s="307"/>
      <c r="L5" s="307"/>
      <c r="M5" s="307"/>
      <c r="N5" s="307"/>
      <c r="O5" s="307"/>
      <c r="P5" s="307"/>
      <c r="Q5" s="307"/>
      <c r="R5" s="307"/>
      <c r="S5" s="307"/>
      <c r="T5" s="307"/>
      <c r="U5" s="307"/>
      <c r="V5" s="307"/>
      <c r="W5" s="307"/>
      <c r="X5" s="307"/>
      <c r="Y5" s="307"/>
    </row>
    <row r="6" spans="2:25" x14ac:dyDescent="0.25">
      <c r="B6" s="307"/>
      <c r="C6" s="307"/>
      <c r="D6" s="307"/>
      <c r="E6" s="307"/>
      <c r="F6" s="307"/>
      <c r="G6" s="307"/>
      <c r="H6" s="307"/>
      <c r="I6" s="307"/>
      <c r="J6" s="307"/>
      <c r="K6" s="307"/>
      <c r="L6" s="307"/>
      <c r="M6" s="307"/>
      <c r="N6" s="307"/>
      <c r="O6" s="307"/>
      <c r="P6" s="307"/>
      <c r="Q6" s="307"/>
      <c r="R6" s="307"/>
      <c r="S6" s="307"/>
      <c r="T6" s="307"/>
      <c r="U6" s="307"/>
      <c r="V6" s="307"/>
      <c r="W6" s="307"/>
      <c r="X6" s="307"/>
      <c r="Y6" s="307"/>
    </row>
    <row r="7" spans="2:25" x14ac:dyDescent="0.25">
      <c r="B7" s="307"/>
      <c r="C7" s="307"/>
      <c r="D7" s="307"/>
      <c r="E7" s="307"/>
      <c r="F7" s="307"/>
      <c r="G7" s="307"/>
      <c r="H7" s="307"/>
      <c r="I7" s="307"/>
      <c r="J7" s="307"/>
      <c r="K7" s="307"/>
      <c r="L7" s="307"/>
      <c r="M7" s="307"/>
      <c r="N7" s="307"/>
      <c r="O7" s="307"/>
      <c r="P7" s="307"/>
      <c r="Q7" s="307"/>
      <c r="R7" s="307"/>
      <c r="S7" s="307"/>
      <c r="T7" s="307"/>
      <c r="U7" s="307"/>
      <c r="V7" s="307"/>
      <c r="W7" s="307"/>
      <c r="X7" s="307"/>
      <c r="Y7" s="307"/>
    </row>
    <row r="8" spans="2:25" x14ac:dyDescent="0.25">
      <c r="B8" s="307"/>
      <c r="C8" s="307"/>
      <c r="D8" s="307"/>
      <c r="E8" s="307"/>
      <c r="F8" s="307"/>
      <c r="G8" s="307"/>
      <c r="H8" s="307"/>
      <c r="I8" s="307"/>
      <c r="J8" s="307"/>
      <c r="K8" s="307"/>
      <c r="L8" s="307"/>
      <c r="M8" s="307"/>
      <c r="N8" s="307"/>
      <c r="O8" s="307"/>
      <c r="P8" s="307"/>
      <c r="Q8" s="307"/>
      <c r="R8" s="307"/>
      <c r="S8" s="307"/>
      <c r="T8" s="307"/>
      <c r="U8" s="307"/>
      <c r="V8" s="307"/>
      <c r="W8" s="307"/>
      <c r="X8" s="307"/>
      <c r="Y8" s="307"/>
    </row>
    <row r="9" spans="2:25" x14ac:dyDescent="0.25">
      <c r="B9" s="307"/>
      <c r="C9" s="307"/>
      <c r="D9" s="307"/>
      <c r="E9" s="307"/>
      <c r="F9" s="307"/>
      <c r="G9" s="307"/>
      <c r="H9" s="307"/>
      <c r="I9" s="307"/>
      <c r="J9" s="307"/>
      <c r="K9" s="307"/>
      <c r="L9" s="307"/>
      <c r="M9" s="307"/>
      <c r="N9" s="307"/>
      <c r="O9" s="307"/>
      <c r="P9" s="307"/>
      <c r="Q9" s="307"/>
      <c r="R9" s="307"/>
      <c r="S9" s="307"/>
      <c r="T9" s="307"/>
      <c r="U9" s="307"/>
      <c r="V9" s="307"/>
      <c r="W9" s="307"/>
      <c r="X9" s="307"/>
      <c r="Y9" s="307"/>
    </row>
    <row r="10" spans="2:25" x14ac:dyDescent="0.25">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row>
    <row r="11" spans="2:25" x14ac:dyDescent="0.25">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row>
    <row r="12" spans="2:25" ht="21" x14ac:dyDescent="0.35">
      <c r="B12" s="307"/>
      <c r="C12" s="325" t="s">
        <v>409</v>
      </c>
      <c r="D12" s="307"/>
      <c r="E12" s="307"/>
      <c r="F12" s="307"/>
      <c r="G12" s="307"/>
      <c r="H12" s="307"/>
      <c r="I12" s="307"/>
      <c r="J12" s="307"/>
      <c r="K12" s="307"/>
      <c r="L12" s="307"/>
      <c r="M12" s="307"/>
      <c r="N12" s="307"/>
      <c r="O12" s="307"/>
      <c r="P12" s="307"/>
      <c r="Q12" s="307"/>
      <c r="R12" s="307"/>
      <c r="S12" s="307"/>
      <c r="T12" s="307"/>
      <c r="U12" s="307"/>
      <c r="V12" s="307"/>
      <c r="W12" s="307"/>
      <c r="X12" s="307"/>
      <c r="Y12" s="307"/>
    </row>
    <row r="13" spans="2:25" x14ac:dyDescent="0.25">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row>
    <row r="14" spans="2:25" ht="15" customHeight="1" x14ac:dyDescent="0.25">
      <c r="B14" s="307"/>
      <c r="C14" s="333" t="s">
        <v>416</v>
      </c>
      <c r="D14" s="333"/>
      <c r="E14" s="333"/>
      <c r="F14" s="333"/>
      <c r="G14" s="333"/>
      <c r="H14" s="333"/>
      <c r="I14" s="333"/>
      <c r="J14" s="333"/>
      <c r="K14" s="333"/>
      <c r="L14" s="333"/>
      <c r="M14" s="333"/>
      <c r="N14" s="333"/>
      <c r="O14" s="333"/>
      <c r="P14" s="333"/>
      <c r="Q14" s="333"/>
      <c r="R14" s="333"/>
      <c r="S14" s="333"/>
      <c r="T14" s="333"/>
      <c r="U14" s="333"/>
      <c r="V14" s="333"/>
      <c r="W14" s="333"/>
      <c r="X14" s="333"/>
      <c r="Y14" s="307"/>
    </row>
    <row r="15" spans="2:25" x14ac:dyDescent="0.25">
      <c r="B15" s="307"/>
      <c r="C15" s="333"/>
      <c r="D15" s="333"/>
      <c r="E15" s="333"/>
      <c r="F15" s="333"/>
      <c r="G15" s="333"/>
      <c r="H15" s="333"/>
      <c r="I15" s="333"/>
      <c r="J15" s="333"/>
      <c r="K15" s="333"/>
      <c r="L15" s="333"/>
      <c r="M15" s="333"/>
      <c r="N15" s="333"/>
      <c r="O15" s="333"/>
      <c r="P15" s="333"/>
      <c r="Q15" s="333"/>
      <c r="R15" s="333"/>
      <c r="S15" s="333"/>
      <c r="T15" s="333"/>
      <c r="U15" s="333"/>
      <c r="V15" s="333"/>
      <c r="W15" s="333"/>
      <c r="X15" s="333"/>
      <c r="Y15" s="307"/>
    </row>
    <row r="16" spans="2:25" x14ac:dyDescent="0.25">
      <c r="B16" s="307"/>
      <c r="C16" s="333"/>
      <c r="D16" s="333"/>
      <c r="E16" s="333"/>
      <c r="F16" s="333"/>
      <c r="G16" s="333"/>
      <c r="H16" s="333"/>
      <c r="I16" s="333"/>
      <c r="J16" s="333"/>
      <c r="K16" s="333"/>
      <c r="L16" s="333"/>
      <c r="M16" s="333"/>
      <c r="N16" s="333"/>
      <c r="O16" s="333"/>
      <c r="P16" s="333"/>
      <c r="Q16" s="333"/>
      <c r="R16" s="333"/>
      <c r="S16" s="333"/>
      <c r="T16" s="333"/>
      <c r="U16" s="333"/>
      <c r="V16" s="333"/>
      <c r="W16" s="333"/>
      <c r="X16" s="333"/>
      <c r="Y16" s="307"/>
    </row>
    <row r="17" spans="2:25" x14ac:dyDescent="0.25">
      <c r="B17" s="307"/>
      <c r="C17" s="331"/>
      <c r="D17" s="331"/>
      <c r="E17" s="331"/>
      <c r="F17" s="331"/>
      <c r="G17" s="331"/>
      <c r="H17" s="331"/>
      <c r="I17" s="331"/>
      <c r="J17" s="331"/>
      <c r="K17" s="331"/>
      <c r="L17" s="331"/>
      <c r="M17" s="331"/>
      <c r="N17" s="331"/>
      <c r="O17" s="331"/>
      <c r="P17" s="331"/>
      <c r="Q17" s="331"/>
      <c r="R17" s="331"/>
      <c r="S17" s="331"/>
      <c r="T17" s="331"/>
      <c r="U17" s="331"/>
      <c r="V17" s="331"/>
      <c r="W17" s="331"/>
      <c r="X17" s="307"/>
      <c r="Y17" s="307"/>
    </row>
    <row r="18" spans="2:25" x14ac:dyDescent="0.25">
      <c r="B18" s="307"/>
      <c r="C18" s="332" t="s">
        <v>414</v>
      </c>
      <c r="D18" s="331"/>
      <c r="E18" s="331"/>
      <c r="F18" s="331"/>
      <c r="G18" s="331"/>
      <c r="H18" s="331"/>
      <c r="I18" s="331"/>
      <c r="J18" s="331"/>
      <c r="K18" s="331"/>
      <c r="L18" s="331"/>
      <c r="M18" s="331"/>
      <c r="N18" s="331"/>
      <c r="O18" s="331"/>
      <c r="P18" s="331"/>
      <c r="Q18" s="331"/>
      <c r="R18" s="331"/>
      <c r="S18" s="331"/>
      <c r="T18" s="331"/>
      <c r="U18" s="331"/>
      <c r="V18" s="331"/>
      <c r="W18" s="331"/>
      <c r="X18" s="307"/>
      <c r="Y18" s="307"/>
    </row>
    <row r="19" spans="2:25" x14ac:dyDescent="0.25">
      <c r="B19" s="307"/>
      <c r="C19" s="334" t="s">
        <v>415</v>
      </c>
      <c r="D19" s="334"/>
      <c r="E19" s="334"/>
      <c r="F19" s="334"/>
      <c r="G19" s="334"/>
      <c r="H19" s="334"/>
      <c r="I19" s="334"/>
      <c r="J19" s="334"/>
      <c r="K19" s="334"/>
      <c r="L19" s="334"/>
      <c r="M19" s="334"/>
      <c r="N19" s="334"/>
      <c r="O19" s="334"/>
      <c r="P19" s="334"/>
      <c r="Q19" s="334"/>
      <c r="R19" s="334"/>
      <c r="S19" s="334"/>
      <c r="T19" s="334"/>
      <c r="U19" s="334"/>
      <c r="V19" s="334"/>
      <c r="W19" s="334"/>
      <c r="X19" s="334"/>
      <c r="Y19" s="307"/>
    </row>
    <row r="20" spans="2:25" x14ac:dyDescent="0.25">
      <c r="B20" s="307"/>
      <c r="C20" s="334"/>
      <c r="D20" s="334"/>
      <c r="E20" s="334"/>
      <c r="F20" s="334"/>
      <c r="G20" s="334"/>
      <c r="H20" s="334"/>
      <c r="I20" s="334"/>
      <c r="J20" s="334"/>
      <c r="K20" s="334"/>
      <c r="L20" s="334"/>
      <c r="M20" s="334"/>
      <c r="N20" s="334"/>
      <c r="O20" s="334"/>
      <c r="P20" s="334"/>
      <c r="Q20" s="334"/>
      <c r="R20" s="334"/>
      <c r="S20" s="334"/>
      <c r="T20" s="334"/>
      <c r="U20" s="334"/>
      <c r="V20" s="334"/>
      <c r="W20" s="334"/>
      <c r="X20" s="334"/>
      <c r="Y20" s="307"/>
    </row>
    <row r="21" spans="2:25" x14ac:dyDescent="0.25">
      <c r="B21" s="307"/>
      <c r="C21" s="334"/>
      <c r="D21" s="334"/>
      <c r="E21" s="334"/>
      <c r="F21" s="334"/>
      <c r="G21" s="334"/>
      <c r="H21" s="334"/>
      <c r="I21" s="334"/>
      <c r="J21" s="334"/>
      <c r="K21" s="334"/>
      <c r="L21" s="334"/>
      <c r="M21" s="334"/>
      <c r="N21" s="334"/>
      <c r="O21" s="334"/>
      <c r="P21" s="334"/>
      <c r="Q21" s="334"/>
      <c r="R21" s="334"/>
      <c r="S21" s="334"/>
      <c r="T21" s="334"/>
      <c r="U21" s="334"/>
      <c r="V21" s="334"/>
      <c r="W21" s="334"/>
      <c r="X21" s="334"/>
      <c r="Y21" s="307"/>
    </row>
    <row r="22" spans="2:25" x14ac:dyDescent="0.25">
      <c r="B22" s="307"/>
      <c r="C22" s="334"/>
      <c r="D22" s="334"/>
      <c r="E22" s="334"/>
      <c r="F22" s="334"/>
      <c r="G22" s="334"/>
      <c r="H22" s="334"/>
      <c r="I22" s="334"/>
      <c r="J22" s="334"/>
      <c r="K22" s="334"/>
      <c r="L22" s="334"/>
      <c r="M22" s="334"/>
      <c r="N22" s="334"/>
      <c r="O22" s="334"/>
      <c r="P22" s="334"/>
      <c r="Q22" s="334"/>
      <c r="R22" s="334"/>
      <c r="S22" s="334"/>
      <c r="T22" s="334"/>
      <c r="U22" s="334"/>
      <c r="V22" s="334"/>
      <c r="W22" s="334"/>
      <c r="X22" s="334"/>
      <c r="Y22" s="307"/>
    </row>
    <row r="23" spans="2:25" x14ac:dyDescent="0.25">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row>
    <row r="24" spans="2:25" x14ac:dyDescent="0.25">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row>
    <row r="25" spans="2:25" x14ac:dyDescent="0.25">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row>
    <row r="26" spans="2:25" x14ac:dyDescent="0.25">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row>
    <row r="27" spans="2:25" x14ac:dyDescent="0.25">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row>
    <row r="28" spans="2:25" x14ac:dyDescent="0.25">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row>
    <row r="29" spans="2:25" x14ac:dyDescent="0.25">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row>
    <row r="30" spans="2:25" ht="6.75" customHeight="1" x14ac:dyDescent="0.25">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row>
    <row r="31" spans="2:25" x14ac:dyDescent="0.25">
      <c r="B31" s="329"/>
      <c r="C31" s="329"/>
      <c r="D31" s="330"/>
      <c r="E31" s="329"/>
      <c r="F31" s="329"/>
      <c r="G31" s="329"/>
      <c r="H31" s="329"/>
      <c r="I31" s="329"/>
      <c r="J31" s="329"/>
      <c r="K31" s="329"/>
      <c r="L31" s="329"/>
      <c r="M31" s="329"/>
      <c r="N31" s="329"/>
      <c r="O31" s="329"/>
      <c r="P31" s="329"/>
      <c r="Q31" s="329"/>
      <c r="R31" s="329"/>
      <c r="S31" s="329"/>
      <c r="T31" s="329"/>
      <c r="U31" s="329"/>
      <c r="V31" s="329"/>
      <c r="W31" s="329"/>
      <c r="X31" s="329"/>
      <c r="Y31" s="329"/>
    </row>
    <row r="32" spans="2:25" x14ac:dyDescent="0.25">
      <c r="B32" s="329"/>
      <c r="C32" s="329"/>
      <c r="D32" s="330"/>
      <c r="E32" s="329"/>
      <c r="F32" s="329"/>
      <c r="G32" s="329"/>
      <c r="H32" s="329"/>
      <c r="I32" s="329"/>
      <c r="J32" s="329"/>
      <c r="K32" s="329"/>
      <c r="L32" s="329"/>
      <c r="M32" s="329"/>
      <c r="N32" s="329"/>
      <c r="O32" s="329"/>
      <c r="P32" s="329"/>
      <c r="Q32" s="329"/>
      <c r="R32" s="329"/>
      <c r="S32" s="329"/>
      <c r="T32" s="329"/>
      <c r="U32" s="329"/>
      <c r="V32" s="329"/>
      <c r="W32" s="329"/>
      <c r="X32" s="329"/>
      <c r="Y32" s="329"/>
    </row>
    <row r="33" spans="2:25" x14ac:dyDescent="0.25">
      <c r="B33" s="329"/>
      <c r="C33" s="329" t="s">
        <v>413</v>
      </c>
      <c r="D33" s="329"/>
      <c r="E33" s="329"/>
      <c r="F33" s="329" t="s">
        <v>412</v>
      </c>
      <c r="G33" s="329"/>
      <c r="H33" s="329"/>
      <c r="I33" s="329"/>
      <c r="J33" s="329"/>
      <c r="K33" s="329"/>
      <c r="L33" s="329"/>
      <c r="M33" s="329"/>
      <c r="N33" s="329"/>
      <c r="O33" s="329"/>
      <c r="P33" s="329"/>
      <c r="Q33" s="329"/>
      <c r="R33" s="329"/>
      <c r="S33" s="329"/>
      <c r="T33" s="329"/>
      <c r="U33" s="329"/>
      <c r="V33" s="329"/>
      <c r="W33" s="329"/>
      <c r="X33" s="329"/>
      <c r="Y33" s="329"/>
    </row>
    <row r="34" spans="2:25" x14ac:dyDescent="0.25">
      <c r="B34" s="329"/>
      <c r="C34" s="329" t="s">
        <v>410</v>
      </c>
      <c r="D34" s="329"/>
      <c r="E34" s="329"/>
      <c r="F34" s="329" t="s">
        <v>411</v>
      </c>
      <c r="G34" s="329"/>
      <c r="H34" s="329"/>
      <c r="I34" s="329"/>
      <c r="J34" s="329"/>
      <c r="K34" s="329"/>
      <c r="L34" s="329"/>
      <c r="M34" s="329"/>
      <c r="N34" s="329"/>
      <c r="O34" s="329"/>
      <c r="P34" s="329"/>
      <c r="Q34" s="329"/>
      <c r="R34" s="329"/>
      <c r="S34" s="329"/>
      <c r="T34" s="329"/>
      <c r="U34" s="329"/>
      <c r="V34" s="329"/>
      <c r="W34" s="329"/>
      <c r="X34" s="329"/>
      <c r="Y34" s="329"/>
    </row>
    <row r="35" spans="2:25" x14ac:dyDescent="0.25">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2:25" x14ac:dyDescent="0.25">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row>
    <row r="37" spans="2:25" x14ac:dyDescent="0.25">
      <c r="B37" s="329"/>
      <c r="C37" s="329" t="s">
        <v>408</v>
      </c>
      <c r="D37" s="330"/>
      <c r="E37" s="329"/>
      <c r="F37" s="330">
        <v>44083</v>
      </c>
      <c r="G37" s="329"/>
      <c r="H37" s="329"/>
      <c r="I37" s="329"/>
      <c r="J37" s="329"/>
      <c r="K37" s="329"/>
      <c r="L37" s="329"/>
      <c r="M37" s="329"/>
      <c r="N37" s="329"/>
      <c r="O37" s="329"/>
      <c r="P37" s="329"/>
      <c r="Q37" s="329"/>
      <c r="R37" s="329"/>
      <c r="S37" s="329"/>
      <c r="T37" s="329"/>
      <c r="U37" s="329"/>
      <c r="V37" s="329"/>
      <c r="W37" s="329"/>
      <c r="X37" s="329"/>
      <c r="Y37" s="329"/>
    </row>
    <row r="38" spans="2:25" x14ac:dyDescent="0.25">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row>
    <row r="39" spans="2:25" x14ac:dyDescent="0.25">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row>
    <row r="40" spans="2:25" x14ac:dyDescent="0.25">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row>
    <row r="41" spans="2:25" x14ac:dyDescent="0.25">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row>
    <row r="42" spans="2:25" x14ac:dyDescent="0.25">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row>
    <row r="43" spans="2:25" x14ac:dyDescent="0.25">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row>
    <row r="44" spans="2:25" x14ac:dyDescent="0.25">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row>
    <row r="45" spans="2:25" x14ac:dyDescent="0.25"/>
    <row r="46" spans="2:25" hidden="1" x14ac:dyDescent="0.25"/>
    <row r="47" spans="2:25" hidden="1" x14ac:dyDescent="0.25"/>
    <row r="48" spans="2:2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mergeCells count="2">
    <mergeCell ref="C14:X16"/>
    <mergeCell ref="C19:X22"/>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3FEF1-18DE-4AA9-B4BB-D7E277B6E7F0}">
  <dimension ref="A3:U58"/>
  <sheetViews>
    <sheetView showGridLines="0" zoomScale="55" zoomScaleNormal="55" workbookViewId="0">
      <pane ySplit="4" topLeftCell="A5" activePane="bottomLeft" state="frozen"/>
      <selection pane="bottomLeft" activeCell="A2" sqref="A2"/>
    </sheetView>
  </sheetViews>
  <sheetFormatPr defaultColWidth="0" defaultRowHeight="15" x14ac:dyDescent="0.25"/>
  <cols>
    <col min="1" max="1" width="63.140625" customWidth="1"/>
    <col min="2" max="2" width="10" bestFit="1" customWidth="1"/>
    <col min="3" max="3" width="10.85546875" bestFit="1" customWidth="1"/>
    <col min="4" max="4" width="20.28515625" style="148" customWidth="1"/>
    <col min="5" max="5" width="15.28515625" customWidth="1"/>
    <col min="6" max="6" width="15.28515625" style="148" customWidth="1"/>
    <col min="7" max="7" width="15.28515625" customWidth="1"/>
    <col min="8" max="8" width="11.42578125" customWidth="1"/>
    <col min="9" max="11" width="9.140625" customWidth="1"/>
    <col min="12" max="12" width="21.5703125" customWidth="1"/>
    <col min="13" max="13" width="14" style="65" customWidth="1"/>
    <col min="14" max="14" width="63.5703125" style="241" customWidth="1"/>
    <col min="15" max="16" width="9.140625" style="8" customWidth="1"/>
    <col min="17" max="17" width="12" style="8" customWidth="1"/>
    <col min="18" max="21" width="0" style="8" hidden="1" customWidth="1"/>
    <col min="22" max="16384" width="9.140625" style="8" hidden="1"/>
  </cols>
  <sheetData>
    <row r="3" spans="1:21" x14ac:dyDescent="0.25">
      <c r="A3" s="8"/>
    </row>
    <row r="4" spans="1:21" ht="30.75" thickBot="1" x14ac:dyDescent="0.3">
      <c r="A4" s="6" t="s">
        <v>23</v>
      </c>
      <c r="B4" s="2" t="s">
        <v>25</v>
      </c>
      <c r="C4" s="4" t="s">
        <v>31</v>
      </c>
      <c r="D4" s="173" t="s">
        <v>108</v>
      </c>
      <c r="E4" s="4" t="s">
        <v>31</v>
      </c>
      <c r="F4" s="173" t="s">
        <v>109</v>
      </c>
      <c r="G4" s="4" t="s">
        <v>31</v>
      </c>
      <c r="H4" s="322" t="s">
        <v>403</v>
      </c>
      <c r="I4" s="4" t="s">
        <v>31</v>
      </c>
      <c r="J4" s="2" t="s">
        <v>29</v>
      </c>
      <c r="K4" s="4" t="s">
        <v>32</v>
      </c>
      <c r="L4" s="2" t="s">
        <v>30</v>
      </c>
      <c r="M4" s="66" t="s">
        <v>27</v>
      </c>
      <c r="N4" s="242" t="s">
        <v>26</v>
      </c>
    </row>
    <row r="5" spans="1:21" x14ac:dyDescent="0.25">
      <c r="A5" s="16" t="s">
        <v>53</v>
      </c>
      <c r="B5" s="17"/>
      <c r="C5" s="17"/>
      <c r="D5" s="174"/>
      <c r="E5" s="17"/>
      <c r="F5" s="174"/>
      <c r="G5" s="17"/>
      <c r="H5" s="17"/>
      <c r="I5" s="17"/>
      <c r="J5" s="17"/>
      <c r="K5" s="17"/>
      <c r="L5" s="17"/>
      <c r="M5" s="67" t="s">
        <v>28</v>
      </c>
      <c r="N5" s="19" t="s">
        <v>42</v>
      </c>
    </row>
    <row r="6" spans="1:21" ht="60" x14ac:dyDescent="0.25">
      <c r="A6" s="197"/>
      <c r="B6" s="198"/>
      <c r="C6" s="198"/>
      <c r="D6" s="199"/>
      <c r="E6" s="198"/>
      <c r="F6" s="199"/>
      <c r="G6" s="198"/>
      <c r="H6" s="305">
        <v>0</v>
      </c>
      <c r="I6" s="198" t="s">
        <v>404</v>
      </c>
      <c r="J6" s="198">
        <v>9</v>
      </c>
      <c r="K6" s="198">
        <v>2019</v>
      </c>
      <c r="L6" s="198"/>
      <c r="M6" s="212" t="s">
        <v>85</v>
      </c>
      <c r="N6" s="200" t="s">
        <v>86</v>
      </c>
      <c r="T6" s="29"/>
      <c r="U6" s="29"/>
    </row>
    <row r="7" spans="1:21" ht="45" x14ac:dyDescent="0.25">
      <c r="A7" s="49" t="s">
        <v>298</v>
      </c>
      <c r="B7" s="201">
        <v>2900</v>
      </c>
      <c r="C7" s="50" t="s">
        <v>297</v>
      </c>
      <c r="D7" s="73"/>
      <c r="E7" s="50"/>
      <c r="F7" s="73"/>
      <c r="G7" s="50"/>
      <c r="H7" s="50"/>
      <c r="I7" s="50"/>
      <c r="J7" s="50"/>
      <c r="K7" s="50"/>
      <c r="L7" s="50"/>
      <c r="M7" s="51" t="s">
        <v>88</v>
      </c>
      <c r="N7" s="52" t="s">
        <v>92</v>
      </c>
      <c r="S7" s="312"/>
      <c r="T7" s="326"/>
      <c r="U7" s="29"/>
    </row>
    <row r="8" spans="1:21" ht="45" x14ac:dyDescent="0.25">
      <c r="A8" s="49" t="s">
        <v>299</v>
      </c>
      <c r="B8" s="201">
        <v>1550</v>
      </c>
      <c r="C8" s="50" t="s">
        <v>297</v>
      </c>
      <c r="D8" s="73"/>
      <c r="E8" s="50"/>
      <c r="F8" s="73"/>
      <c r="G8" s="50"/>
      <c r="H8" s="50"/>
      <c r="I8" s="50"/>
      <c r="J8" s="50"/>
      <c r="K8" s="50"/>
      <c r="L8" s="50"/>
      <c r="M8" s="51" t="s">
        <v>88</v>
      </c>
      <c r="N8" s="52" t="s">
        <v>93</v>
      </c>
      <c r="R8" s="29"/>
    </row>
    <row r="9" spans="1:21" ht="45" x14ac:dyDescent="0.25">
      <c r="A9" s="49" t="s">
        <v>300</v>
      </c>
      <c r="B9" s="201">
        <v>1180</v>
      </c>
      <c r="C9" s="50" t="s">
        <v>297</v>
      </c>
      <c r="D9" s="73"/>
      <c r="E9" s="50"/>
      <c r="F9" s="73"/>
      <c r="G9" s="50"/>
      <c r="H9" s="50"/>
      <c r="I9" s="50"/>
      <c r="J9" s="50"/>
      <c r="K9" s="50"/>
      <c r="L9" s="50"/>
      <c r="M9" s="51" t="s">
        <v>88</v>
      </c>
      <c r="N9" s="52" t="s">
        <v>94</v>
      </c>
    </row>
    <row r="10" spans="1:21" x14ac:dyDescent="0.25">
      <c r="A10" s="49"/>
      <c r="B10" s="50"/>
      <c r="C10" s="50"/>
      <c r="D10" s="73"/>
      <c r="E10" s="50"/>
      <c r="F10" s="73">
        <v>4</v>
      </c>
      <c r="G10" s="56" t="s">
        <v>284</v>
      </c>
      <c r="H10" s="50"/>
      <c r="I10" s="50"/>
      <c r="J10" s="50"/>
      <c r="K10" s="50"/>
      <c r="L10" s="50"/>
      <c r="M10" s="51" t="s">
        <v>85</v>
      </c>
      <c r="N10" s="52" t="s">
        <v>87</v>
      </c>
    </row>
    <row r="11" spans="1:21" ht="30" x14ac:dyDescent="0.25">
      <c r="A11" s="49" t="s">
        <v>95</v>
      </c>
      <c r="B11" s="50"/>
      <c r="C11" s="50"/>
      <c r="D11" s="202">
        <f>5.15/3.6/'Conversion factors'!$F$36</f>
        <v>4.2930976992330776E-2</v>
      </c>
      <c r="E11" s="50" t="s">
        <v>270</v>
      </c>
      <c r="F11" s="73"/>
      <c r="G11" s="50"/>
      <c r="H11" s="50"/>
      <c r="I11" s="50"/>
      <c r="J11" s="50"/>
      <c r="K11" s="50"/>
      <c r="L11" s="50"/>
      <c r="M11" s="51" t="s">
        <v>88</v>
      </c>
      <c r="N11" s="52" t="s">
        <v>89</v>
      </c>
    </row>
    <row r="12" spans="1:21" ht="30" x14ac:dyDescent="0.25">
      <c r="A12" s="49" t="s">
        <v>218</v>
      </c>
      <c r="B12" s="50"/>
      <c r="C12" s="50"/>
      <c r="D12" s="202">
        <f>2/3.6/'Conversion factors'!$F$36</f>
        <v>1.6672224074691565E-2</v>
      </c>
      <c r="E12" s="50" t="s">
        <v>270</v>
      </c>
      <c r="F12" s="73"/>
      <c r="G12" s="50"/>
      <c r="H12" s="50"/>
      <c r="I12" s="50"/>
      <c r="J12" s="50"/>
      <c r="K12" s="50"/>
      <c r="L12" s="50"/>
      <c r="M12" s="51" t="s">
        <v>88</v>
      </c>
      <c r="N12" s="52" t="s">
        <v>219</v>
      </c>
    </row>
    <row r="13" spans="1:21" ht="30" x14ac:dyDescent="0.25">
      <c r="A13" s="49" t="s">
        <v>96</v>
      </c>
      <c r="B13" s="50"/>
      <c r="C13" s="50"/>
      <c r="D13" s="202">
        <f>2.8/3.6/'Conversion factors'!$F$36</f>
        <v>2.3341113704568185E-2</v>
      </c>
      <c r="E13" s="50" t="s">
        <v>270</v>
      </c>
      <c r="F13" s="73"/>
      <c r="G13" s="50"/>
      <c r="H13" s="50"/>
      <c r="I13" s="50"/>
      <c r="J13" s="50"/>
      <c r="K13" s="50"/>
      <c r="L13" s="50"/>
      <c r="M13" s="51" t="s">
        <v>88</v>
      </c>
      <c r="N13" s="52" t="s">
        <v>90</v>
      </c>
    </row>
    <row r="14" spans="1:21" ht="30" x14ac:dyDescent="0.25">
      <c r="A14" s="49" t="s">
        <v>217</v>
      </c>
      <c r="B14" s="50"/>
      <c r="C14" s="50"/>
      <c r="D14" s="202">
        <f>0.85/3.6/'Conversion factors'!$F$36</f>
        <v>7.0856952317439144E-3</v>
      </c>
      <c r="E14" s="50" t="s">
        <v>270</v>
      </c>
      <c r="F14" s="73"/>
      <c r="G14" s="50"/>
      <c r="H14" s="50"/>
      <c r="I14" s="50"/>
      <c r="J14" s="50"/>
      <c r="K14" s="50"/>
      <c r="L14" s="50"/>
      <c r="M14" s="51" t="s">
        <v>88</v>
      </c>
      <c r="N14" s="52" t="s">
        <v>220</v>
      </c>
    </row>
    <row r="15" spans="1:21" ht="30" x14ac:dyDescent="0.25">
      <c r="A15" s="49" t="s">
        <v>98</v>
      </c>
      <c r="B15" s="50"/>
      <c r="C15" s="50"/>
      <c r="D15" s="202">
        <f>3.4/3.6/'Conversion factors'!$F$36</f>
        <v>2.8342780926975657E-2</v>
      </c>
      <c r="E15" s="50" t="s">
        <v>270</v>
      </c>
      <c r="F15" s="73"/>
      <c r="G15" s="50"/>
      <c r="H15" s="50"/>
      <c r="I15" s="50"/>
      <c r="J15" s="50"/>
      <c r="K15" s="50"/>
      <c r="L15" s="50"/>
      <c r="M15" s="51" t="s">
        <v>88</v>
      </c>
      <c r="N15" s="52" t="s">
        <v>91</v>
      </c>
    </row>
    <row r="16" spans="1:21" ht="30" x14ac:dyDescent="0.25">
      <c r="A16" s="49" t="s">
        <v>215</v>
      </c>
      <c r="B16" s="50"/>
      <c r="C16" s="50"/>
      <c r="D16" s="202">
        <f>1.95/3.6/'Conversion factors'!$F$36</f>
        <v>1.6255418472824273E-2</v>
      </c>
      <c r="E16" s="50" t="s">
        <v>270</v>
      </c>
      <c r="F16" s="73"/>
      <c r="G16" s="50"/>
      <c r="H16" s="50"/>
      <c r="I16" s="50"/>
      <c r="J16" s="50"/>
      <c r="K16" s="50"/>
      <c r="L16" s="50"/>
      <c r="M16" s="51" t="s">
        <v>88</v>
      </c>
      <c r="N16" s="52" t="s">
        <v>216</v>
      </c>
    </row>
    <row r="17" spans="1:14" ht="30" x14ac:dyDescent="0.25">
      <c r="A17" s="203" t="s">
        <v>97</v>
      </c>
      <c r="B17" s="204"/>
      <c r="C17" s="204"/>
      <c r="D17" s="205">
        <f>3.5/3.6/'Conversion factors'!$F$36</f>
        <v>2.9176392130710237E-2</v>
      </c>
      <c r="E17" s="204" t="s">
        <v>270</v>
      </c>
      <c r="F17" s="206"/>
      <c r="G17" s="204"/>
      <c r="H17" s="204"/>
      <c r="I17" s="204"/>
      <c r="J17" s="204"/>
      <c r="K17" s="204"/>
      <c r="L17" s="204"/>
      <c r="M17" s="243" t="s">
        <v>88</v>
      </c>
      <c r="N17" s="207" t="s">
        <v>221</v>
      </c>
    </row>
    <row r="18" spans="1:14" s="29" customFormat="1" x14ac:dyDescent="0.25">
      <c r="A18" s="20" t="s">
        <v>51</v>
      </c>
      <c r="B18" s="20"/>
      <c r="C18" s="20"/>
      <c r="D18" s="111"/>
      <c r="E18" s="20"/>
      <c r="F18" s="111"/>
      <c r="G18" s="20"/>
      <c r="H18" s="20"/>
      <c r="I18" s="20"/>
      <c r="J18" s="20"/>
      <c r="K18" s="20"/>
      <c r="L18" s="20"/>
      <c r="M18" s="68"/>
      <c r="N18" s="22"/>
    </row>
    <row r="19" spans="1:14" s="29" customFormat="1" x14ac:dyDescent="0.25">
      <c r="A19" s="187" t="s">
        <v>286</v>
      </c>
      <c r="B19" s="188">
        <f>500/(1000*'Conversion factors'!$F$36)</f>
        <v>1.5005001667222406E-2</v>
      </c>
      <c r="C19" s="189" t="s">
        <v>289</v>
      </c>
      <c r="D19" s="190"/>
      <c r="E19" s="191"/>
      <c r="F19" s="190"/>
      <c r="G19" s="191"/>
      <c r="H19" s="191"/>
      <c r="I19" s="191"/>
      <c r="J19" s="191"/>
      <c r="K19" s="191"/>
      <c r="L19" s="191"/>
      <c r="M19" s="212" t="s">
        <v>88</v>
      </c>
      <c r="N19" s="192" t="s">
        <v>101</v>
      </c>
    </row>
    <row r="20" spans="1:14" s="29" customFormat="1" ht="30" x14ac:dyDescent="0.25">
      <c r="A20" s="56" t="s">
        <v>287</v>
      </c>
      <c r="B20" s="193">
        <f>1000/(10000*'Conversion factors'!$F$36)</f>
        <v>3.0010003334444814E-3</v>
      </c>
      <c r="C20" s="194" t="s">
        <v>289</v>
      </c>
      <c r="D20" s="120"/>
      <c r="E20" s="60"/>
      <c r="F20" s="120"/>
      <c r="G20" s="60"/>
      <c r="H20" s="60"/>
      <c r="I20" s="60"/>
      <c r="J20" s="60"/>
      <c r="K20" s="60"/>
      <c r="L20" s="60"/>
      <c r="M20" s="51" t="s">
        <v>88</v>
      </c>
      <c r="N20" s="55" t="s">
        <v>102</v>
      </c>
    </row>
    <row r="21" spans="1:14" s="29" customFormat="1" ht="30" x14ac:dyDescent="0.25">
      <c r="A21" s="56" t="s">
        <v>288</v>
      </c>
      <c r="B21" s="193">
        <f>2000/(100000*'Conversion factors'!$F$36)</f>
        <v>6.0020006668889622E-4</v>
      </c>
      <c r="C21" s="194" t="s">
        <v>289</v>
      </c>
      <c r="D21" s="120"/>
      <c r="E21" s="60"/>
      <c r="F21" s="120"/>
      <c r="G21" s="60"/>
      <c r="H21" s="60"/>
      <c r="I21" s="60"/>
      <c r="J21" s="60"/>
      <c r="K21" s="60"/>
      <c r="L21" s="60"/>
      <c r="M21" s="51" t="s">
        <v>88</v>
      </c>
      <c r="N21" s="55" t="s">
        <v>103</v>
      </c>
    </row>
    <row r="22" spans="1:14" s="29" customFormat="1" x14ac:dyDescent="0.25">
      <c r="A22" s="60"/>
      <c r="B22" s="60"/>
      <c r="C22" s="60"/>
      <c r="D22" s="112"/>
      <c r="E22" s="56"/>
      <c r="F22" s="112">
        <v>0.5</v>
      </c>
      <c r="G22" s="53" t="s">
        <v>284</v>
      </c>
      <c r="H22" s="60"/>
      <c r="I22" s="60"/>
      <c r="J22" s="60"/>
      <c r="K22" s="60"/>
      <c r="L22" s="60"/>
      <c r="M22" s="54" t="s">
        <v>85</v>
      </c>
      <c r="N22" s="55" t="s">
        <v>100</v>
      </c>
    </row>
    <row r="23" spans="1:14" s="29" customFormat="1" ht="30" x14ac:dyDescent="0.25">
      <c r="A23" s="60"/>
      <c r="B23" s="195"/>
      <c r="C23" s="60"/>
      <c r="D23" s="120"/>
      <c r="E23" s="60"/>
      <c r="F23" s="120"/>
      <c r="G23" s="60"/>
      <c r="H23" s="306">
        <v>0</v>
      </c>
      <c r="I23" s="50" t="s">
        <v>404</v>
      </c>
      <c r="J23" s="50">
        <v>9</v>
      </c>
      <c r="K23" s="50">
        <v>2019</v>
      </c>
      <c r="L23" s="60"/>
      <c r="M23" s="54" t="s">
        <v>85</v>
      </c>
      <c r="N23" s="55" t="s">
        <v>99</v>
      </c>
    </row>
    <row r="24" spans="1:14" s="29" customFormat="1" x14ac:dyDescent="0.25">
      <c r="A24" s="196"/>
      <c r="B24" s="195"/>
      <c r="C24" s="60"/>
      <c r="D24" s="120"/>
      <c r="E24" s="60"/>
      <c r="F24" s="120"/>
      <c r="G24" s="60"/>
      <c r="H24" s="60"/>
      <c r="I24" s="60"/>
      <c r="J24" s="60"/>
      <c r="K24" s="60"/>
      <c r="L24" s="60"/>
      <c r="M24" s="244"/>
      <c r="N24" s="55"/>
    </row>
    <row r="25" spans="1:14" s="29" customFormat="1" x14ac:dyDescent="0.25">
      <c r="A25" s="196"/>
      <c r="B25" s="195"/>
      <c r="C25" s="60"/>
      <c r="D25" s="120"/>
      <c r="E25" s="60"/>
      <c r="F25" s="120"/>
      <c r="G25" s="60"/>
      <c r="H25" s="60"/>
      <c r="I25" s="60"/>
      <c r="J25" s="60"/>
      <c r="K25" s="60"/>
      <c r="L25" s="60"/>
      <c r="M25" s="244"/>
      <c r="N25" s="55"/>
    </row>
    <row r="26" spans="1:14" s="29" customFormat="1" x14ac:dyDescent="0.25">
      <c r="A26" s="60"/>
      <c r="B26" s="60"/>
      <c r="C26" s="60"/>
      <c r="D26" s="120"/>
      <c r="E26" s="60"/>
      <c r="F26" s="120"/>
      <c r="G26" s="60"/>
      <c r="H26" s="60"/>
      <c r="I26" s="60"/>
      <c r="J26" s="60"/>
      <c r="K26" s="60"/>
      <c r="L26" s="60"/>
      <c r="M26" s="244"/>
      <c r="N26" s="55"/>
    </row>
    <row r="27" spans="1:14" s="29" customFormat="1" x14ac:dyDescent="0.25">
      <c r="A27" s="60"/>
      <c r="B27" s="60"/>
      <c r="C27" s="60"/>
      <c r="D27" s="120"/>
      <c r="E27" s="60"/>
      <c r="F27" s="120"/>
      <c r="G27" s="60"/>
      <c r="H27" s="60"/>
      <c r="I27" s="60"/>
      <c r="J27" s="60"/>
      <c r="K27" s="60"/>
      <c r="L27" s="60"/>
      <c r="M27" s="244"/>
      <c r="N27" s="62"/>
    </row>
    <row r="28" spans="1:14" s="29" customFormat="1" x14ac:dyDescent="0.25">
      <c r="A28" s="60"/>
      <c r="B28" s="60"/>
      <c r="C28" s="60"/>
      <c r="D28" s="120"/>
      <c r="E28" s="60"/>
      <c r="F28" s="120"/>
      <c r="G28" s="60"/>
      <c r="H28" s="60"/>
      <c r="I28" s="60"/>
      <c r="J28" s="60"/>
      <c r="K28" s="60"/>
      <c r="L28" s="60"/>
      <c r="M28" s="244"/>
      <c r="N28" s="62"/>
    </row>
    <row r="29" spans="1:14" s="29" customFormat="1" x14ac:dyDescent="0.25">
      <c r="A29" s="60"/>
      <c r="B29" s="60"/>
      <c r="C29" s="60"/>
      <c r="D29" s="120"/>
      <c r="E29" s="60"/>
      <c r="F29" s="120"/>
      <c r="G29" s="60"/>
      <c r="H29" s="60"/>
      <c r="I29" s="60"/>
      <c r="J29" s="60"/>
      <c r="K29" s="60"/>
      <c r="L29" s="60"/>
      <c r="M29" s="244"/>
      <c r="N29" s="62"/>
    </row>
    <row r="58" spans="1:1" x14ac:dyDescent="0.25">
      <c r="A58" s="42" t="s">
        <v>125</v>
      </c>
    </row>
  </sheetData>
  <dataConsolidate/>
  <hyperlinks>
    <hyperlink ref="A58" r:id="rId1" xr:uid="{C1F43CF8-2F57-4CEE-94C0-E6723D5ADE66}"/>
  </hyperlinks>
  <pageMargins left="0.7" right="0.7" top="0.75" bottom="0.75" header="0.3" footer="0.3"/>
  <pageSetup paperSize="9" orientation="portrait" verticalDpi="0"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A4FAE-3D81-4F42-A0EC-7F5F460303DF}">
  <dimension ref="A3:Q59"/>
  <sheetViews>
    <sheetView showGridLines="0" zoomScale="55" zoomScaleNormal="55" workbookViewId="0">
      <pane ySplit="4" topLeftCell="A5" activePane="bottomLeft" state="frozen"/>
      <selection pane="bottomLeft"/>
    </sheetView>
  </sheetViews>
  <sheetFormatPr defaultColWidth="0" defaultRowHeight="15" x14ac:dyDescent="0.25"/>
  <cols>
    <col min="1" max="1" width="63.140625" customWidth="1"/>
    <col min="2" max="2" width="17" style="148" bestFit="1" customWidth="1"/>
    <col min="3" max="3" width="19.5703125" bestFit="1" customWidth="1"/>
    <col min="4" max="4" width="20.28515625" style="148" customWidth="1"/>
    <col min="5" max="5" width="23.28515625" bestFit="1" customWidth="1"/>
    <col min="6" max="6" width="20.28515625" style="148" customWidth="1"/>
    <col min="7" max="7" width="32.42578125" customWidth="1"/>
    <col min="8" max="8" width="11.42578125" customWidth="1"/>
    <col min="9" max="9" width="9.140625" customWidth="1"/>
    <col min="10" max="10" width="10.28515625" bestFit="1" customWidth="1"/>
    <col min="11" max="11" width="9.140625" customWidth="1"/>
    <col min="12" max="12" width="21.5703125" customWidth="1"/>
    <col min="13" max="13" width="14" style="65" customWidth="1"/>
    <col min="14" max="14" width="63.5703125" style="241" customWidth="1"/>
    <col min="15" max="17" width="9.140625" style="8" customWidth="1"/>
    <col min="18" max="16384" width="9.140625" style="8" hidden="1"/>
  </cols>
  <sheetData>
    <row r="3" spans="1:14" x14ac:dyDescent="0.25">
      <c r="A3" s="8"/>
    </row>
    <row r="4" spans="1:14" ht="30.75" thickBot="1" x14ac:dyDescent="0.3">
      <c r="A4" s="6" t="s">
        <v>23</v>
      </c>
      <c r="B4" s="173" t="s">
        <v>25</v>
      </c>
      <c r="C4" s="4" t="s">
        <v>31</v>
      </c>
      <c r="D4" s="173" t="s">
        <v>108</v>
      </c>
      <c r="E4" s="4" t="s">
        <v>31</v>
      </c>
      <c r="F4" s="173" t="s">
        <v>109</v>
      </c>
      <c r="G4" s="4" t="s">
        <v>31</v>
      </c>
      <c r="H4" s="322" t="s">
        <v>403</v>
      </c>
      <c r="I4" s="4" t="s">
        <v>31</v>
      </c>
      <c r="J4" s="2" t="s">
        <v>29</v>
      </c>
      <c r="K4" s="4" t="s">
        <v>32</v>
      </c>
      <c r="L4" s="2" t="s">
        <v>30</v>
      </c>
      <c r="M4" s="66" t="s">
        <v>27</v>
      </c>
      <c r="N4" s="242" t="s">
        <v>26</v>
      </c>
    </row>
    <row r="5" spans="1:14" x14ac:dyDescent="0.25">
      <c r="A5" s="16" t="s">
        <v>61</v>
      </c>
      <c r="B5" s="174"/>
      <c r="C5" s="17"/>
      <c r="D5" s="174"/>
      <c r="E5" s="17"/>
      <c r="F5" s="174"/>
      <c r="G5" s="17"/>
      <c r="H5" s="17"/>
      <c r="I5" s="17"/>
      <c r="J5" s="17"/>
      <c r="K5" s="17"/>
      <c r="L5" s="17"/>
      <c r="M5" s="67" t="s">
        <v>28</v>
      </c>
      <c r="N5" s="19" t="s">
        <v>42</v>
      </c>
    </row>
    <row r="6" spans="1:14" ht="30" x14ac:dyDescent="0.25">
      <c r="A6" s="197" t="s">
        <v>127</v>
      </c>
      <c r="B6" s="208">
        <f>8520000000/12150*('Conversion factors'!G36/'Conversion factors'!F36)*GBPEUR</f>
        <v>952699.29482667055</v>
      </c>
      <c r="C6" s="209" t="s">
        <v>128</v>
      </c>
      <c r="D6" s="210"/>
      <c r="E6" s="209"/>
      <c r="F6" s="211">
        <f>262.5/8520*100</f>
        <v>3.080985915492958</v>
      </c>
      <c r="G6" s="198" t="s">
        <v>284</v>
      </c>
      <c r="H6" s="198">
        <v>74.7</v>
      </c>
      <c r="I6" s="198" t="s">
        <v>57</v>
      </c>
      <c r="J6" s="198">
        <v>9</v>
      </c>
      <c r="K6" s="198">
        <v>2018</v>
      </c>
      <c r="L6" s="198"/>
      <c r="M6" s="212" t="s">
        <v>129</v>
      </c>
      <c r="N6" s="200" t="s">
        <v>147</v>
      </c>
    </row>
    <row r="7" spans="1:14" x14ac:dyDescent="0.25">
      <c r="A7" s="49" t="s">
        <v>127</v>
      </c>
      <c r="B7" s="213">
        <f>(525.6+137.5)*1000000/(500000*'Conversion factors'!$F$36/24/1000)</f>
        <v>955182.39413137699</v>
      </c>
      <c r="C7" s="70" t="s">
        <v>128</v>
      </c>
      <c r="D7" s="214"/>
      <c r="E7" s="155"/>
      <c r="F7" s="75">
        <v>5</v>
      </c>
      <c r="G7" s="50" t="s">
        <v>284</v>
      </c>
      <c r="H7" s="50">
        <v>82</v>
      </c>
      <c r="I7" s="50" t="s">
        <v>57</v>
      </c>
      <c r="J7" s="50"/>
      <c r="K7" s="50">
        <v>2016</v>
      </c>
      <c r="L7" s="50"/>
      <c r="M7" s="51" t="s">
        <v>130</v>
      </c>
      <c r="N7" s="52"/>
    </row>
    <row r="8" spans="1:14" x14ac:dyDescent="0.25">
      <c r="A8" s="49" t="s">
        <v>131</v>
      </c>
      <c r="B8" s="213">
        <f>0.7*USDEUR*1000000</f>
        <v>630000</v>
      </c>
      <c r="C8" s="70" t="s">
        <v>128</v>
      </c>
      <c r="D8" s="214"/>
      <c r="E8" s="155"/>
      <c r="F8" s="73">
        <v>3.2</v>
      </c>
      <c r="G8" s="50" t="s">
        <v>284</v>
      </c>
      <c r="H8" s="50">
        <v>69</v>
      </c>
      <c r="I8" s="50" t="s">
        <v>57</v>
      </c>
      <c r="J8" s="50"/>
      <c r="K8" s="50">
        <v>2019</v>
      </c>
      <c r="L8" s="70" t="s">
        <v>133</v>
      </c>
      <c r="M8" s="51" t="s">
        <v>144</v>
      </c>
      <c r="N8" s="52"/>
    </row>
    <row r="9" spans="1:14" x14ac:dyDescent="0.25">
      <c r="A9" s="49" t="s">
        <v>145</v>
      </c>
      <c r="B9" s="213">
        <f>0.8*USDEUR*1000000</f>
        <v>720000.00000000012</v>
      </c>
      <c r="C9" s="70" t="s">
        <v>128</v>
      </c>
      <c r="D9" s="214"/>
      <c r="E9" s="155"/>
      <c r="F9" s="73">
        <v>3.2</v>
      </c>
      <c r="G9" s="50" t="s">
        <v>284</v>
      </c>
      <c r="H9" s="50">
        <v>69</v>
      </c>
      <c r="I9" s="50" t="s">
        <v>57</v>
      </c>
      <c r="J9" s="50"/>
      <c r="K9" s="50">
        <v>2019</v>
      </c>
      <c r="L9" s="50"/>
      <c r="M9" s="51" t="s">
        <v>144</v>
      </c>
      <c r="N9" s="52"/>
    </row>
    <row r="10" spans="1:14" x14ac:dyDescent="0.25">
      <c r="A10" s="49" t="s">
        <v>132</v>
      </c>
      <c r="B10" s="213">
        <f>1.5*USDEUR*1000000</f>
        <v>1350000</v>
      </c>
      <c r="C10" s="70" t="s">
        <v>128</v>
      </c>
      <c r="D10" s="214"/>
      <c r="E10" s="155"/>
      <c r="F10" s="73">
        <v>3.2</v>
      </c>
      <c r="G10" s="50" t="s">
        <v>284</v>
      </c>
      <c r="H10" s="50"/>
      <c r="I10" s="50"/>
      <c r="J10" s="50"/>
      <c r="K10" s="50"/>
      <c r="L10" s="50"/>
      <c r="M10" s="51" t="s">
        <v>144</v>
      </c>
      <c r="N10" s="52"/>
    </row>
    <row r="11" spans="1:14" x14ac:dyDescent="0.25">
      <c r="A11" s="49" t="s">
        <v>143</v>
      </c>
      <c r="B11" s="213">
        <f>(616.2+139.9)*1000000/(500000*'Conversion factors'!$F$36/24/1000)</f>
        <v>1089147.0490163385</v>
      </c>
      <c r="C11" s="70" t="s">
        <v>128</v>
      </c>
      <c r="D11" s="214"/>
      <c r="E11" s="155"/>
      <c r="F11" s="75">
        <v>5</v>
      </c>
      <c r="G11" s="50" t="s">
        <v>284</v>
      </c>
      <c r="H11" s="50">
        <v>78</v>
      </c>
      <c r="I11" s="50" t="s">
        <v>57</v>
      </c>
      <c r="J11" s="50"/>
      <c r="K11" s="50">
        <v>2016</v>
      </c>
      <c r="L11" s="50"/>
      <c r="M11" s="51" t="s">
        <v>130</v>
      </c>
      <c r="N11" s="52"/>
    </row>
    <row r="12" spans="1:14" x14ac:dyDescent="0.25">
      <c r="A12" s="49"/>
      <c r="B12" s="213"/>
      <c r="C12" s="50"/>
      <c r="D12" s="73"/>
      <c r="E12" s="50"/>
      <c r="F12" s="73"/>
      <c r="G12" s="50"/>
      <c r="H12" s="50"/>
      <c r="I12" s="50"/>
      <c r="J12" s="50"/>
      <c r="K12" s="50"/>
      <c r="L12" s="50"/>
      <c r="M12" s="51"/>
      <c r="N12" s="52"/>
    </row>
    <row r="13" spans="1:14" x14ac:dyDescent="0.25">
      <c r="A13" s="203"/>
      <c r="B13" s="206"/>
      <c r="C13" s="204"/>
      <c r="D13" s="206"/>
      <c r="E13" s="204"/>
      <c r="F13" s="206"/>
      <c r="G13" s="204"/>
      <c r="H13" s="204"/>
      <c r="I13" s="204"/>
      <c r="J13" s="204"/>
      <c r="K13" s="204"/>
      <c r="L13" s="204"/>
      <c r="M13" s="243"/>
      <c r="N13" s="207"/>
    </row>
    <row r="14" spans="1:14" s="29" customFormat="1" x14ac:dyDescent="0.25">
      <c r="A14" s="20" t="s">
        <v>302</v>
      </c>
      <c r="B14" s="111"/>
      <c r="C14" s="20"/>
      <c r="D14" s="111"/>
      <c r="E14" s="20"/>
      <c r="F14" s="111"/>
      <c r="G14" s="20"/>
      <c r="H14" s="20"/>
      <c r="I14" s="20"/>
      <c r="J14" s="20"/>
      <c r="K14" s="20"/>
      <c r="L14" s="20"/>
      <c r="M14" s="68"/>
      <c r="N14" s="22"/>
    </row>
    <row r="15" spans="1:14" s="29" customFormat="1" x14ac:dyDescent="0.25">
      <c r="A15" s="187" t="s">
        <v>303</v>
      </c>
      <c r="B15" s="208">
        <f>1340000000/2827*GBPEUR</f>
        <v>545100.81358330382</v>
      </c>
      <c r="C15" s="187" t="s">
        <v>291</v>
      </c>
      <c r="D15" s="215"/>
      <c r="E15" s="187"/>
      <c r="F15" s="215">
        <f>24000000/2827*GBPEUR</f>
        <v>9762.9996462681283</v>
      </c>
      <c r="G15" s="187" t="s">
        <v>290</v>
      </c>
      <c r="H15" s="191"/>
      <c r="I15" s="191"/>
      <c r="J15" s="187">
        <v>9</v>
      </c>
      <c r="K15" s="187">
        <v>2018</v>
      </c>
      <c r="L15" s="191"/>
      <c r="M15" s="212" t="s">
        <v>129</v>
      </c>
      <c r="N15" s="200" t="s">
        <v>137</v>
      </c>
    </row>
    <row r="16" spans="1:14" s="29" customFormat="1" x14ac:dyDescent="0.25">
      <c r="A16" s="56" t="s">
        <v>304</v>
      </c>
      <c r="B16" s="213">
        <f>1603000000/2827*GBPEUR</f>
        <v>652087.01804032538</v>
      </c>
      <c r="C16" s="56" t="s">
        <v>291</v>
      </c>
      <c r="D16" s="110"/>
      <c r="E16" s="56"/>
      <c r="F16" s="110">
        <f>21000000/2827*GBPEUR</f>
        <v>8542.6246904846121</v>
      </c>
      <c r="G16" s="56" t="s">
        <v>290</v>
      </c>
      <c r="H16" s="60"/>
      <c r="I16" s="60"/>
      <c r="J16" s="56">
        <v>9</v>
      </c>
      <c r="K16" s="56">
        <v>2018</v>
      </c>
      <c r="L16" s="60"/>
      <c r="M16" s="51" t="s">
        <v>129</v>
      </c>
      <c r="N16" s="52" t="s">
        <v>137</v>
      </c>
    </row>
    <row r="17" spans="1:14" s="29" customFormat="1" x14ac:dyDescent="0.25">
      <c r="A17" s="56" t="s">
        <v>305</v>
      </c>
      <c r="B17" s="213">
        <f>(120000000/(2000000/8760))</f>
        <v>525600</v>
      </c>
      <c r="C17" s="56" t="s">
        <v>291</v>
      </c>
      <c r="D17" s="120"/>
      <c r="E17" s="60"/>
      <c r="F17" s="110">
        <f>(6000000/(2000000/8760))</f>
        <v>26280</v>
      </c>
      <c r="G17" s="56" t="s">
        <v>290</v>
      </c>
      <c r="H17" s="60"/>
      <c r="I17" s="60"/>
      <c r="J17" s="60"/>
      <c r="K17" s="60"/>
      <c r="L17" s="60"/>
      <c r="M17" s="54" t="s">
        <v>301</v>
      </c>
      <c r="N17" s="62"/>
    </row>
    <row r="18" spans="1:14" s="29" customFormat="1" x14ac:dyDescent="0.25">
      <c r="A18" s="56" t="s">
        <v>306</v>
      </c>
      <c r="B18" s="213">
        <f>(48000000/(2000000/8760))</f>
        <v>210240</v>
      </c>
      <c r="C18" s="56" t="s">
        <v>291</v>
      </c>
      <c r="D18" s="120"/>
      <c r="E18" s="60"/>
      <c r="F18" s="110">
        <f>(6000000/(2000000/8760))</f>
        <v>26280</v>
      </c>
      <c r="G18" s="56" t="s">
        <v>290</v>
      </c>
      <c r="H18" s="60"/>
      <c r="I18" s="60"/>
      <c r="J18" s="60"/>
      <c r="K18" s="60"/>
      <c r="L18" s="60"/>
      <c r="M18" s="54" t="s">
        <v>301</v>
      </c>
      <c r="N18" s="62"/>
    </row>
    <row r="19" spans="1:14" s="29" customFormat="1" x14ac:dyDescent="0.25">
      <c r="A19" s="56" t="s">
        <v>307</v>
      </c>
      <c r="B19" s="213">
        <f>(199000000/(2000000/8760))</f>
        <v>871620</v>
      </c>
      <c r="C19" s="56" t="s">
        <v>291</v>
      </c>
      <c r="D19" s="120"/>
      <c r="E19" s="60"/>
      <c r="F19" s="110">
        <f>(7000000/(2000000/8760))</f>
        <v>30660</v>
      </c>
      <c r="G19" s="56" t="s">
        <v>290</v>
      </c>
      <c r="H19" s="60"/>
      <c r="I19" s="60"/>
      <c r="J19" s="60"/>
      <c r="K19" s="60"/>
      <c r="L19" s="60"/>
      <c r="M19" s="54" t="s">
        <v>301</v>
      </c>
      <c r="N19" s="62"/>
    </row>
    <row r="20" spans="1:14" s="29" customFormat="1" x14ac:dyDescent="0.25">
      <c r="A20" s="56" t="s">
        <v>308</v>
      </c>
      <c r="B20" s="213">
        <f>(27000000/(2000000/8760))</f>
        <v>118260</v>
      </c>
      <c r="C20" s="56" t="s">
        <v>291</v>
      </c>
      <c r="D20" s="120"/>
      <c r="E20" s="60"/>
      <c r="F20" s="110">
        <f>(3000000/(2000000/8760))</f>
        <v>13140</v>
      </c>
      <c r="G20" s="56" t="s">
        <v>290</v>
      </c>
      <c r="H20" s="60"/>
      <c r="I20" s="60"/>
      <c r="J20" s="60"/>
      <c r="K20" s="60"/>
      <c r="L20" s="60"/>
      <c r="M20" s="54" t="s">
        <v>301</v>
      </c>
      <c r="N20" s="62"/>
    </row>
    <row r="21" spans="1:14" s="29" customFormat="1" x14ac:dyDescent="0.25">
      <c r="A21" s="56" t="s">
        <v>309</v>
      </c>
      <c r="B21" s="213">
        <f>(48000000/(2000000/8760))</f>
        <v>210240</v>
      </c>
      <c r="C21" s="56" t="s">
        <v>291</v>
      </c>
      <c r="D21" s="120"/>
      <c r="E21" s="60"/>
      <c r="F21" s="110">
        <f>(3000000/(2000000/8760))</f>
        <v>13140</v>
      </c>
      <c r="G21" s="56" t="s">
        <v>290</v>
      </c>
      <c r="H21" s="60"/>
      <c r="I21" s="60"/>
      <c r="J21" s="60"/>
      <c r="K21" s="60"/>
      <c r="L21" s="60"/>
      <c r="M21" s="54" t="s">
        <v>301</v>
      </c>
      <c r="N21" s="62"/>
    </row>
    <row r="22" spans="1:14" s="29" customFormat="1" x14ac:dyDescent="0.25">
      <c r="A22" s="56" t="s">
        <v>310</v>
      </c>
      <c r="B22" s="213">
        <f>(70000000/(2000000/8760))</f>
        <v>306600</v>
      </c>
      <c r="C22" s="56" t="s">
        <v>291</v>
      </c>
      <c r="D22" s="120"/>
      <c r="E22" s="60"/>
      <c r="F22" s="110">
        <f>(3000000/(2000000/8760))</f>
        <v>13140</v>
      </c>
      <c r="G22" s="56" t="s">
        <v>290</v>
      </c>
      <c r="H22" s="60"/>
      <c r="I22" s="60"/>
      <c r="J22" s="56"/>
      <c r="K22" s="60"/>
      <c r="L22" s="60"/>
      <c r="M22" s="54" t="s">
        <v>301</v>
      </c>
      <c r="N22" s="62"/>
    </row>
    <row r="23" spans="1:14" s="29" customFormat="1" x14ac:dyDescent="0.25">
      <c r="A23" s="216"/>
      <c r="B23" s="217"/>
      <c r="C23" s="216"/>
      <c r="D23" s="218"/>
      <c r="E23" s="219"/>
      <c r="F23" s="220"/>
      <c r="G23" s="216"/>
      <c r="H23" s="219"/>
      <c r="I23" s="219"/>
      <c r="J23" s="216">
        <v>9</v>
      </c>
      <c r="K23" s="219"/>
      <c r="L23" s="219"/>
      <c r="M23" s="221" t="s">
        <v>312</v>
      </c>
      <c r="N23" s="222"/>
    </row>
    <row r="24" spans="1:14" s="29" customFormat="1" x14ac:dyDescent="0.25">
      <c r="A24" s="24" t="s">
        <v>52</v>
      </c>
      <c r="B24" s="111"/>
      <c r="C24" s="20"/>
      <c r="D24" s="111"/>
      <c r="E24" s="20"/>
      <c r="F24" s="111"/>
      <c r="G24" s="20"/>
      <c r="H24" s="20"/>
      <c r="I24" s="20"/>
      <c r="J24" s="20"/>
      <c r="K24" s="20"/>
      <c r="L24" s="20"/>
      <c r="M24" s="68"/>
      <c r="N24" s="22"/>
    </row>
    <row r="25" spans="1:14" s="29" customFormat="1" x14ac:dyDescent="0.25">
      <c r="A25" s="223" t="s">
        <v>123</v>
      </c>
      <c r="B25" s="224">
        <f>28000000/10000*GBPEUR</f>
        <v>3219.9999999999995</v>
      </c>
      <c r="C25" s="187" t="s">
        <v>150</v>
      </c>
      <c r="D25" s="225">
        <v>263</v>
      </c>
      <c r="E25" s="187" t="s">
        <v>151</v>
      </c>
      <c r="F25" s="224">
        <v>2.5</v>
      </c>
      <c r="G25" s="187" t="s">
        <v>284</v>
      </c>
      <c r="H25" s="187">
        <v>0</v>
      </c>
      <c r="I25" s="187" t="s">
        <v>407</v>
      </c>
      <c r="J25" s="191"/>
      <c r="K25" s="187">
        <v>2018</v>
      </c>
      <c r="L25" s="191"/>
      <c r="M25" s="226" t="s">
        <v>148</v>
      </c>
      <c r="N25" s="192" t="s">
        <v>152</v>
      </c>
    </row>
    <row r="26" spans="1:14" s="29" customFormat="1" x14ac:dyDescent="0.25">
      <c r="A26" s="89" t="s">
        <v>149</v>
      </c>
      <c r="B26" s="115">
        <f>53000000/30000*GBPEUR</f>
        <v>2031.6666666666665</v>
      </c>
      <c r="C26" s="56" t="s">
        <v>150</v>
      </c>
      <c r="D26" s="112">
        <v>339</v>
      </c>
      <c r="E26" s="56" t="s">
        <v>151</v>
      </c>
      <c r="F26" s="115">
        <v>5</v>
      </c>
      <c r="G26" s="56" t="s">
        <v>284</v>
      </c>
      <c r="H26" s="56">
        <v>0</v>
      </c>
      <c r="I26" s="56" t="s">
        <v>407</v>
      </c>
      <c r="J26" s="60"/>
      <c r="K26" s="56">
        <v>2018</v>
      </c>
      <c r="L26" s="60"/>
      <c r="M26" s="54" t="s">
        <v>148</v>
      </c>
      <c r="N26" s="55" t="s">
        <v>153</v>
      </c>
    </row>
    <row r="27" spans="1:14" s="29" customFormat="1" x14ac:dyDescent="0.25">
      <c r="A27" s="89" t="s">
        <v>122</v>
      </c>
      <c r="B27" s="115">
        <f>69000000/50000*GBPEUR</f>
        <v>1586.9999999999998</v>
      </c>
      <c r="C27" s="56" t="s">
        <v>150</v>
      </c>
      <c r="D27" s="112">
        <v>415</v>
      </c>
      <c r="E27" s="56" t="s">
        <v>151</v>
      </c>
      <c r="F27" s="115">
        <v>5</v>
      </c>
      <c r="G27" s="56" t="s">
        <v>284</v>
      </c>
      <c r="H27" s="56">
        <v>0</v>
      </c>
      <c r="I27" s="56" t="s">
        <v>407</v>
      </c>
      <c r="J27" s="60"/>
      <c r="K27" s="56">
        <v>2018</v>
      </c>
      <c r="L27" s="60"/>
      <c r="M27" s="54" t="s">
        <v>148</v>
      </c>
      <c r="N27" s="55" t="s">
        <v>154</v>
      </c>
    </row>
    <row r="28" spans="1:14" s="29" customFormat="1" x14ac:dyDescent="0.25">
      <c r="A28" s="227"/>
      <c r="B28" s="112"/>
      <c r="C28" s="56"/>
      <c r="D28" s="115"/>
      <c r="E28" s="56"/>
      <c r="F28" s="115"/>
      <c r="G28" s="56"/>
      <c r="H28" s="60"/>
      <c r="I28" s="60"/>
      <c r="J28" s="56">
        <v>9</v>
      </c>
      <c r="K28" s="60"/>
      <c r="L28" s="60"/>
      <c r="M28" s="54" t="s">
        <v>312</v>
      </c>
      <c r="N28" s="55"/>
    </row>
    <row r="29" spans="1:14" s="29" customFormat="1" x14ac:dyDescent="0.25">
      <c r="A29" s="227"/>
      <c r="B29" s="112"/>
      <c r="C29" s="56"/>
      <c r="D29" s="115"/>
      <c r="E29" s="56"/>
      <c r="F29" s="115"/>
      <c r="G29" s="56"/>
      <c r="H29" s="60"/>
      <c r="I29" s="60"/>
      <c r="J29" s="60"/>
      <c r="K29" s="60"/>
      <c r="L29" s="60"/>
      <c r="M29" s="54"/>
      <c r="N29" s="55"/>
    </row>
    <row r="30" spans="1:14" s="29" customFormat="1" x14ac:dyDescent="0.25">
      <c r="A30" s="227"/>
      <c r="B30" s="112"/>
      <c r="C30" s="56"/>
      <c r="D30" s="115"/>
      <c r="E30" s="56"/>
      <c r="F30" s="115"/>
      <c r="G30" s="56"/>
      <c r="H30" s="60"/>
      <c r="I30" s="60"/>
      <c r="J30" s="60"/>
      <c r="K30" s="60"/>
      <c r="L30" s="60"/>
      <c r="M30" s="54"/>
      <c r="N30" s="55"/>
    </row>
    <row r="31" spans="1:14" s="29" customFormat="1" x14ac:dyDescent="0.25">
      <c r="A31" s="227"/>
      <c r="B31" s="120"/>
      <c r="C31" s="60"/>
      <c r="D31" s="120"/>
      <c r="E31" s="60"/>
      <c r="F31" s="120"/>
      <c r="G31" s="60"/>
      <c r="H31" s="60"/>
      <c r="I31" s="60"/>
      <c r="J31" s="60"/>
      <c r="K31" s="60"/>
      <c r="L31" s="60"/>
      <c r="M31" s="244"/>
      <c r="N31" s="62"/>
    </row>
    <row r="32" spans="1:14" s="29" customFormat="1" x14ac:dyDescent="0.25">
      <c r="A32" s="228"/>
      <c r="B32" s="218"/>
      <c r="C32" s="219"/>
      <c r="D32" s="218"/>
      <c r="E32" s="219"/>
      <c r="F32" s="218"/>
      <c r="G32" s="219"/>
      <c r="H32" s="219"/>
      <c r="I32" s="219"/>
      <c r="J32" s="219"/>
      <c r="K32" s="219"/>
      <c r="L32" s="219"/>
      <c r="M32" s="245"/>
      <c r="N32" s="222"/>
    </row>
    <row r="33" spans="1:14" s="29" customFormat="1" x14ac:dyDescent="0.25">
      <c r="A33" s="24" t="s">
        <v>138</v>
      </c>
      <c r="B33" s="111"/>
      <c r="C33" s="20"/>
      <c r="D33" s="111"/>
      <c r="E33" s="20"/>
      <c r="F33" s="111"/>
      <c r="G33" s="20"/>
      <c r="H33" s="20"/>
      <c r="I33" s="20"/>
      <c r="J33" s="20"/>
      <c r="K33" s="20"/>
      <c r="L33" s="20"/>
      <c r="M33" s="68"/>
      <c r="N33" s="22"/>
    </row>
    <row r="34" spans="1:14" s="29" customFormat="1" x14ac:dyDescent="0.25">
      <c r="A34" s="223" t="s">
        <v>200</v>
      </c>
      <c r="B34" s="208">
        <f>0.59*1000000/2.5</f>
        <v>236000</v>
      </c>
      <c r="C34" s="229" t="s">
        <v>204</v>
      </c>
      <c r="D34" s="190"/>
      <c r="E34" s="191"/>
      <c r="F34" s="190"/>
      <c r="G34" s="187"/>
      <c r="H34" s="191"/>
      <c r="I34" s="191"/>
      <c r="J34" s="191"/>
      <c r="K34" s="187">
        <v>2010</v>
      </c>
      <c r="L34" s="191"/>
      <c r="M34" s="226" t="s">
        <v>189</v>
      </c>
      <c r="N34" s="230"/>
    </row>
    <row r="35" spans="1:14" s="29" customFormat="1" x14ac:dyDescent="0.25">
      <c r="A35" s="89" t="s">
        <v>199</v>
      </c>
      <c r="B35" s="213">
        <f>0.64*1000000/5</f>
        <v>128000</v>
      </c>
      <c r="C35" s="53" t="s">
        <v>204</v>
      </c>
      <c r="D35" s="120"/>
      <c r="E35" s="60"/>
      <c r="F35" s="120"/>
      <c r="G35" s="60"/>
      <c r="H35" s="60"/>
      <c r="I35" s="60"/>
      <c r="J35" s="60"/>
      <c r="K35" s="56">
        <v>2010</v>
      </c>
      <c r="L35" s="60"/>
      <c r="M35" s="54" t="s">
        <v>189</v>
      </c>
      <c r="N35" s="62"/>
    </row>
    <row r="36" spans="1:14" s="29" customFormat="1" x14ac:dyDescent="0.25">
      <c r="A36" s="89" t="s">
        <v>198</v>
      </c>
      <c r="B36" s="213">
        <f>0.83*1000000/15</f>
        <v>55333.333333333336</v>
      </c>
      <c r="C36" s="53" t="s">
        <v>204</v>
      </c>
      <c r="D36" s="120"/>
      <c r="E36" s="60"/>
      <c r="F36" s="120"/>
      <c r="G36" s="60"/>
      <c r="H36" s="60"/>
      <c r="I36" s="60"/>
      <c r="J36" s="60"/>
      <c r="K36" s="56">
        <v>2010</v>
      </c>
      <c r="L36" s="60"/>
      <c r="M36" s="54" t="s">
        <v>189</v>
      </c>
      <c r="N36" s="62"/>
    </row>
    <row r="37" spans="1:14" s="29" customFormat="1" x14ac:dyDescent="0.25">
      <c r="A37" s="89" t="s">
        <v>197</v>
      </c>
      <c r="B37" s="213">
        <f>1.11*1000000/30</f>
        <v>37000</v>
      </c>
      <c r="C37" s="53" t="s">
        <v>204</v>
      </c>
      <c r="D37" s="120"/>
      <c r="E37" s="60"/>
      <c r="F37" s="120"/>
      <c r="G37" s="60"/>
      <c r="H37" s="60"/>
      <c r="I37" s="60"/>
      <c r="J37" s="60"/>
      <c r="K37" s="56">
        <v>2010</v>
      </c>
      <c r="L37" s="60"/>
      <c r="M37" s="54" t="s">
        <v>189</v>
      </c>
      <c r="N37" s="62"/>
    </row>
    <row r="38" spans="1:14" s="29" customFormat="1" x14ac:dyDescent="0.25">
      <c r="A38" s="89" t="s">
        <v>196</v>
      </c>
      <c r="B38" s="213">
        <f>1.49*1000000/50</f>
        <v>29800</v>
      </c>
      <c r="C38" s="53" t="s">
        <v>204</v>
      </c>
      <c r="D38" s="120"/>
      <c r="E38" s="60"/>
      <c r="F38" s="120"/>
      <c r="G38" s="60"/>
      <c r="H38" s="60"/>
      <c r="I38" s="60"/>
      <c r="J38" s="60"/>
      <c r="K38" s="56">
        <v>2010</v>
      </c>
      <c r="L38" s="60"/>
      <c r="M38" s="54" t="s">
        <v>189</v>
      </c>
      <c r="N38" s="62"/>
    </row>
    <row r="39" spans="1:14" s="29" customFormat="1" x14ac:dyDescent="0.25">
      <c r="A39" s="89" t="s">
        <v>195</v>
      </c>
      <c r="B39" s="213">
        <f>1.18*1000000/2.5</f>
        <v>472000</v>
      </c>
      <c r="C39" s="53" t="s">
        <v>204</v>
      </c>
      <c r="D39" s="120"/>
      <c r="E39" s="60"/>
      <c r="F39" s="120"/>
      <c r="G39" s="60"/>
      <c r="H39" s="60"/>
      <c r="I39" s="60"/>
      <c r="J39" s="60"/>
      <c r="K39" s="56">
        <v>2010</v>
      </c>
      <c r="L39" s="60"/>
      <c r="M39" s="54" t="s">
        <v>189</v>
      </c>
      <c r="N39" s="62"/>
    </row>
    <row r="40" spans="1:14" s="29" customFormat="1" x14ac:dyDescent="0.25">
      <c r="A40" s="89" t="s">
        <v>194</v>
      </c>
      <c r="B40" s="213">
        <f>1.28*1000000/5</f>
        <v>256000</v>
      </c>
      <c r="C40" s="53" t="s">
        <v>204</v>
      </c>
      <c r="D40" s="120"/>
      <c r="E40" s="60"/>
      <c r="F40" s="120"/>
      <c r="G40" s="60"/>
      <c r="H40" s="60"/>
      <c r="I40" s="60"/>
      <c r="J40" s="60"/>
      <c r="K40" s="56">
        <v>2010</v>
      </c>
      <c r="L40" s="60"/>
      <c r="M40" s="54" t="s">
        <v>189</v>
      </c>
      <c r="N40" s="62"/>
    </row>
    <row r="41" spans="1:14" s="29" customFormat="1" x14ac:dyDescent="0.25">
      <c r="A41" s="89" t="s">
        <v>193</v>
      </c>
      <c r="B41" s="213">
        <f>1.78*1000000/15</f>
        <v>118666.66666666667</v>
      </c>
      <c r="C41" s="53" t="s">
        <v>204</v>
      </c>
      <c r="D41" s="120"/>
      <c r="E41" s="60"/>
      <c r="F41" s="120"/>
      <c r="G41" s="60"/>
      <c r="H41" s="60"/>
      <c r="I41" s="60"/>
      <c r="J41" s="60"/>
      <c r="K41" s="56">
        <v>2010</v>
      </c>
      <c r="L41" s="60"/>
      <c r="M41" s="54" t="s">
        <v>189</v>
      </c>
      <c r="N41" s="62"/>
    </row>
    <row r="42" spans="1:14" s="29" customFormat="1" x14ac:dyDescent="0.25">
      <c r="A42" s="89" t="s">
        <v>192</v>
      </c>
      <c r="B42" s="213">
        <f>2.22*1000000/30</f>
        <v>74000</v>
      </c>
      <c r="C42" s="53" t="s">
        <v>204</v>
      </c>
      <c r="D42" s="120"/>
      <c r="E42" s="60"/>
      <c r="F42" s="120"/>
      <c r="G42" s="60"/>
      <c r="H42" s="60"/>
      <c r="I42" s="60"/>
      <c r="J42" s="60"/>
      <c r="K42" s="56">
        <v>2010</v>
      </c>
      <c r="L42" s="60"/>
      <c r="M42" s="54" t="s">
        <v>189</v>
      </c>
      <c r="N42" s="62"/>
    </row>
    <row r="43" spans="1:14" s="29" customFormat="1" x14ac:dyDescent="0.25">
      <c r="A43" s="89" t="s">
        <v>191</v>
      </c>
      <c r="B43" s="213">
        <f>2.98*1000000/50</f>
        <v>59600</v>
      </c>
      <c r="C43" s="53" t="s">
        <v>204</v>
      </c>
      <c r="D43" s="120"/>
      <c r="E43" s="60"/>
      <c r="F43" s="120"/>
      <c r="G43" s="60"/>
      <c r="H43" s="60"/>
      <c r="I43" s="60"/>
      <c r="J43" s="60"/>
      <c r="K43" s="56">
        <v>2010</v>
      </c>
      <c r="L43" s="60"/>
      <c r="M43" s="54" t="s">
        <v>189</v>
      </c>
      <c r="N43" s="62"/>
    </row>
    <row r="44" spans="1:14" s="29" customFormat="1" x14ac:dyDescent="0.25">
      <c r="A44" s="89" t="s">
        <v>190</v>
      </c>
      <c r="B44" s="213">
        <f>2000000/50</f>
        <v>40000</v>
      </c>
      <c r="C44" s="53" t="s">
        <v>204</v>
      </c>
      <c r="D44" s="112">
        <v>17.11</v>
      </c>
      <c r="E44" s="56" t="s">
        <v>208</v>
      </c>
      <c r="F44" s="112"/>
      <c r="G44" s="56"/>
      <c r="H44" s="60"/>
      <c r="I44" s="60"/>
      <c r="J44" s="60"/>
      <c r="K44" s="56">
        <v>2012</v>
      </c>
      <c r="L44" s="60"/>
      <c r="M44" s="54" t="s">
        <v>205</v>
      </c>
      <c r="N44" s="55" t="s">
        <v>207</v>
      </c>
    </row>
    <row r="45" spans="1:14" s="29" customFormat="1" x14ac:dyDescent="0.25">
      <c r="A45" s="89" t="s">
        <v>201</v>
      </c>
      <c r="B45" s="213">
        <f>2200000/50</f>
        <v>44000</v>
      </c>
      <c r="C45" s="53" t="s">
        <v>204</v>
      </c>
      <c r="D45" s="112">
        <v>11.82</v>
      </c>
      <c r="E45" s="56" t="s">
        <v>208</v>
      </c>
      <c r="F45" s="112"/>
      <c r="G45" s="56"/>
      <c r="H45" s="60"/>
      <c r="I45" s="60"/>
      <c r="J45" s="60"/>
      <c r="K45" s="56">
        <v>2012</v>
      </c>
      <c r="L45" s="60"/>
      <c r="M45" s="54" t="s">
        <v>205</v>
      </c>
      <c r="N45" s="55" t="s">
        <v>207</v>
      </c>
    </row>
    <row r="46" spans="1:14" s="29" customFormat="1" x14ac:dyDescent="0.25">
      <c r="A46" s="89" t="s">
        <v>202</v>
      </c>
      <c r="B46" s="213">
        <f>2400000/50</f>
        <v>48000</v>
      </c>
      <c r="C46" s="53" t="s">
        <v>204</v>
      </c>
      <c r="D46" s="112">
        <v>7.98</v>
      </c>
      <c r="E46" s="56" t="s">
        <v>208</v>
      </c>
      <c r="F46" s="112"/>
      <c r="G46" s="56"/>
      <c r="H46" s="60"/>
      <c r="I46" s="60"/>
      <c r="J46" s="60"/>
      <c r="K46" s="56">
        <v>2012</v>
      </c>
      <c r="L46" s="60"/>
      <c r="M46" s="54" t="s">
        <v>205</v>
      </c>
      <c r="N46" s="55" t="s">
        <v>207</v>
      </c>
    </row>
    <row r="47" spans="1:14" s="29" customFormat="1" x14ac:dyDescent="0.25">
      <c r="A47" s="89" t="s">
        <v>203</v>
      </c>
      <c r="B47" s="213">
        <f>2600000/50</f>
        <v>52000</v>
      </c>
      <c r="C47" s="53" t="s">
        <v>204</v>
      </c>
      <c r="D47" s="112">
        <v>6.87</v>
      </c>
      <c r="E47" s="56" t="s">
        <v>208</v>
      </c>
      <c r="F47" s="112"/>
      <c r="G47" s="56"/>
      <c r="H47" s="60"/>
      <c r="I47" s="60"/>
      <c r="J47" s="60"/>
      <c r="K47" s="56">
        <v>2012</v>
      </c>
      <c r="L47" s="60"/>
      <c r="M47" s="54" t="s">
        <v>205</v>
      </c>
      <c r="N47" s="55" t="s">
        <v>207</v>
      </c>
    </row>
    <row r="48" spans="1:14" s="29" customFormat="1" x14ac:dyDescent="0.25">
      <c r="A48" s="89" t="s">
        <v>190</v>
      </c>
      <c r="B48" s="213">
        <f>1900000/50</f>
        <v>38000</v>
      </c>
      <c r="C48" s="53" t="s">
        <v>204</v>
      </c>
      <c r="D48" s="112">
        <v>24.74</v>
      </c>
      <c r="E48" s="56" t="s">
        <v>208</v>
      </c>
      <c r="F48" s="112"/>
      <c r="G48" s="56"/>
      <c r="H48" s="60"/>
      <c r="I48" s="60"/>
      <c r="J48" s="60"/>
      <c r="K48" s="56">
        <v>2012</v>
      </c>
      <c r="L48" s="60"/>
      <c r="M48" s="54" t="s">
        <v>205</v>
      </c>
      <c r="N48" s="55" t="s">
        <v>206</v>
      </c>
    </row>
    <row r="49" spans="1:14" s="29" customFormat="1" x14ac:dyDescent="0.25">
      <c r="A49" s="89" t="s">
        <v>209</v>
      </c>
      <c r="B49" s="213">
        <f>419000000/410/14</f>
        <v>72996.515679442513</v>
      </c>
      <c r="C49" s="53" t="s">
        <v>204</v>
      </c>
      <c r="D49" s="231"/>
      <c r="E49" s="56"/>
      <c r="F49" s="232">
        <v>4</v>
      </c>
      <c r="G49" s="56" t="s">
        <v>284</v>
      </c>
      <c r="H49" s="60"/>
      <c r="I49" s="60"/>
      <c r="J49" s="60"/>
      <c r="K49" s="56">
        <v>2017</v>
      </c>
      <c r="L49" s="60"/>
      <c r="M49" s="54" t="s">
        <v>212</v>
      </c>
      <c r="N49" s="55"/>
    </row>
    <row r="50" spans="1:14" s="29" customFormat="1" x14ac:dyDescent="0.25">
      <c r="A50" s="89" t="s">
        <v>210</v>
      </c>
      <c r="B50" s="213">
        <f>438000000/455/20</f>
        <v>48131.868131868134</v>
      </c>
      <c r="C50" s="53" t="s">
        <v>204</v>
      </c>
      <c r="D50" s="231"/>
      <c r="E50" s="56"/>
      <c r="F50" s="232">
        <v>4</v>
      </c>
      <c r="G50" s="56" t="s">
        <v>284</v>
      </c>
      <c r="H50" s="60"/>
      <c r="I50" s="60"/>
      <c r="J50" s="60"/>
      <c r="K50" s="56">
        <v>2017</v>
      </c>
      <c r="L50" s="60"/>
      <c r="M50" s="54" t="s">
        <v>212</v>
      </c>
      <c r="N50" s="55"/>
    </row>
    <row r="51" spans="1:14" s="29" customFormat="1" x14ac:dyDescent="0.25">
      <c r="A51" s="89" t="s">
        <v>211</v>
      </c>
      <c r="B51" s="213">
        <f>833000000/820/30</f>
        <v>33861.788617886181</v>
      </c>
      <c r="C51" s="53" t="s">
        <v>204</v>
      </c>
      <c r="D51" s="231"/>
      <c r="E51" s="56"/>
      <c r="F51" s="232">
        <v>4</v>
      </c>
      <c r="G51" s="56" t="s">
        <v>284</v>
      </c>
      <c r="H51" s="60"/>
      <c r="I51" s="60"/>
      <c r="J51" s="60"/>
      <c r="K51" s="56">
        <v>2017</v>
      </c>
      <c r="L51" s="60"/>
      <c r="M51" s="54" t="s">
        <v>212</v>
      </c>
      <c r="N51" s="55"/>
    </row>
    <row r="52" spans="1:14" s="29" customFormat="1" x14ac:dyDescent="0.25">
      <c r="A52" s="89"/>
      <c r="B52" s="213"/>
      <c r="C52" s="53"/>
      <c r="D52" s="112"/>
      <c r="E52" s="56"/>
      <c r="F52" s="112"/>
      <c r="G52" s="56"/>
      <c r="H52" s="60"/>
      <c r="I52" s="60"/>
      <c r="J52" s="56">
        <v>9</v>
      </c>
      <c r="K52" s="56"/>
      <c r="L52" s="60"/>
      <c r="M52" s="54" t="s">
        <v>312</v>
      </c>
      <c r="N52" s="55"/>
    </row>
    <row r="53" spans="1:14" s="29" customFormat="1" x14ac:dyDescent="0.25">
      <c r="A53" s="89"/>
      <c r="B53" s="213"/>
      <c r="C53" s="53"/>
      <c r="D53" s="112"/>
      <c r="E53" s="56"/>
      <c r="F53" s="112"/>
      <c r="G53" s="56"/>
      <c r="H53" s="60"/>
      <c r="I53" s="60"/>
      <c r="J53" s="60"/>
      <c r="K53" s="56"/>
      <c r="L53" s="60"/>
      <c r="M53" s="54"/>
      <c r="N53" s="55"/>
    </row>
    <row r="54" spans="1:14" s="29" customFormat="1" x14ac:dyDescent="0.25">
      <c r="A54" s="89"/>
      <c r="B54" s="213"/>
      <c r="C54" s="53"/>
      <c r="D54" s="120"/>
      <c r="E54" s="60"/>
      <c r="F54" s="112"/>
      <c r="G54" s="56"/>
      <c r="H54" s="60"/>
      <c r="I54" s="60"/>
      <c r="J54" s="60"/>
      <c r="K54" s="56"/>
      <c r="L54" s="60"/>
      <c r="M54" s="54"/>
      <c r="N54" s="55"/>
    </row>
    <row r="55" spans="1:14" s="29" customFormat="1" x14ac:dyDescent="0.25">
      <c r="A55" s="89"/>
      <c r="B55" s="213"/>
      <c r="C55" s="53"/>
      <c r="D55" s="120"/>
      <c r="E55" s="60"/>
      <c r="F55" s="112"/>
      <c r="G55" s="56"/>
      <c r="H55" s="60"/>
      <c r="I55" s="60"/>
      <c r="J55" s="60"/>
      <c r="K55" s="56"/>
      <c r="L55" s="60"/>
      <c r="M55" s="54"/>
      <c r="N55" s="55"/>
    </row>
    <row r="56" spans="1:14" s="29" customFormat="1" x14ac:dyDescent="0.25">
      <c r="A56" s="89"/>
      <c r="B56" s="213"/>
      <c r="C56" s="53"/>
      <c r="D56" s="120"/>
      <c r="E56" s="60"/>
      <c r="F56" s="112"/>
      <c r="G56" s="56"/>
      <c r="H56" s="60"/>
      <c r="I56" s="60"/>
      <c r="J56" s="60"/>
      <c r="K56" s="56"/>
      <c r="L56" s="60"/>
      <c r="M56" s="54"/>
      <c r="N56" s="55"/>
    </row>
    <row r="57" spans="1:14" s="29" customFormat="1" x14ac:dyDescent="0.25">
      <c r="A57" s="89"/>
      <c r="B57" s="213"/>
      <c r="C57" s="53"/>
      <c r="D57" s="120"/>
      <c r="E57" s="60"/>
      <c r="F57" s="112"/>
      <c r="G57" s="56"/>
      <c r="H57" s="60"/>
      <c r="I57" s="60"/>
      <c r="J57" s="60"/>
      <c r="K57" s="56"/>
      <c r="L57" s="60"/>
      <c r="M57" s="54"/>
      <c r="N57" s="55"/>
    </row>
    <row r="58" spans="1:14" s="29" customFormat="1" x14ac:dyDescent="0.25">
      <c r="A58" s="89"/>
      <c r="B58" s="213"/>
      <c r="C58" s="53"/>
      <c r="D58" s="120"/>
      <c r="E58" s="60"/>
      <c r="F58" s="112"/>
      <c r="G58" s="56"/>
      <c r="H58" s="60"/>
      <c r="I58" s="60"/>
      <c r="J58" s="60"/>
      <c r="K58" s="56"/>
      <c r="L58" s="60"/>
      <c r="M58" s="54"/>
      <c r="N58" s="55"/>
    </row>
    <row r="59" spans="1:14" s="29" customFormat="1" x14ac:dyDescent="0.25">
      <c r="A59" s="233"/>
      <c r="B59" s="234"/>
      <c r="C59" s="235"/>
      <c r="D59" s="236"/>
      <c r="E59" s="237"/>
      <c r="F59" s="238"/>
      <c r="G59" s="170"/>
      <c r="H59" s="237"/>
      <c r="I59" s="237"/>
      <c r="J59" s="237"/>
      <c r="K59" s="170"/>
      <c r="L59" s="237"/>
      <c r="M59" s="239"/>
      <c r="N59" s="240"/>
    </row>
  </sheetData>
  <dataConsolidate/>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E94C-83CD-4DB0-BF12-978668A598B3}">
  <dimension ref="A1:R43"/>
  <sheetViews>
    <sheetView showGridLines="0" zoomScale="85" zoomScaleNormal="85" workbookViewId="0"/>
  </sheetViews>
  <sheetFormatPr defaultColWidth="0" defaultRowHeight="15" zeroHeight="1" x14ac:dyDescent="0.25"/>
  <cols>
    <col min="1" max="1" width="5.5703125" style="5" customWidth="1"/>
    <col min="2" max="2" width="7.42578125" style="5" customWidth="1"/>
    <col min="3" max="3" width="33.28515625" style="5" customWidth="1"/>
    <col min="4" max="4" width="6.28515625" style="5" customWidth="1"/>
    <col min="5" max="6" width="43.5703125" style="5" bestFit="1" customWidth="1"/>
    <col min="7" max="7" width="9.140625" style="5" customWidth="1"/>
    <col min="8" max="8" width="20.28515625" style="5" customWidth="1"/>
    <col min="9" max="11" width="15.28515625" style="5" hidden="1" customWidth="1"/>
    <col min="12" max="12" width="11.42578125" style="5" hidden="1" customWidth="1"/>
    <col min="13" max="15" width="9.140625" style="5" hidden="1" customWidth="1"/>
    <col min="16" max="16" width="21.5703125" style="5" hidden="1" customWidth="1"/>
    <col min="17" max="17" width="14" style="5" hidden="1" customWidth="1"/>
    <col min="18" max="18" width="63.5703125" style="5" hidden="1" customWidth="1"/>
    <col min="19" max="16384" width="9.140625" style="5" hidden="1"/>
  </cols>
  <sheetData>
    <row r="1" spans="2:9" x14ac:dyDescent="0.25">
      <c r="B1" s="1" t="s">
        <v>384</v>
      </c>
    </row>
    <row r="2" spans="2:9" x14ac:dyDescent="0.25"/>
    <row r="3" spans="2:9" x14ac:dyDescent="0.25">
      <c r="B3" s="37"/>
      <c r="C3" s="37"/>
      <c r="D3" s="37"/>
      <c r="E3" s="37"/>
      <c r="F3" s="37"/>
    </row>
    <row r="4" spans="2:9" ht="15.75" thickBot="1" x14ac:dyDescent="0.3">
      <c r="B4" s="7" t="s">
        <v>371</v>
      </c>
      <c r="C4" s="6" t="s">
        <v>24</v>
      </c>
      <c r="D4" s="7" t="s">
        <v>0</v>
      </c>
      <c r="E4" s="6" t="s">
        <v>23</v>
      </c>
      <c r="F4" s="6" t="s">
        <v>373</v>
      </c>
    </row>
    <row r="5" spans="2:9" x14ac:dyDescent="0.25">
      <c r="B5" s="348">
        <v>0</v>
      </c>
      <c r="C5" s="345" t="s">
        <v>370</v>
      </c>
      <c r="D5" s="275">
        <v>1</v>
      </c>
      <c r="E5" s="283" t="s">
        <v>313</v>
      </c>
      <c r="F5" s="283" t="s">
        <v>381</v>
      </c>
      <c r="G5" s="297"/>
    </row>
    <row r="6" spans="2:9" x14ac:dyDescent="0.25">
      <c r="B6" s="349"/>
      <c r="C6" s="346"/>
      <c r="D6" s="275">
        <f>+D5+1</f>
        <v>2</v>
      </c>
      <c r="E6" s="283" t="s">
        <v>369</v>
      </c>
      <c r="F6" s="283" t="s">
        <v>381</v>
      </c>
    </row>
    <row r="7" spans="2:9" x14ac:dyDescent="0.25">
      <c r="B7" s="349"/>
      <c r="C7" s="346"/>
      <c r="D7" s="275">
        <f t="shared" ref="D7:D35" si="0">+D6+1</f>
        <v>3</v>
      </c>
      <c r="E7" s="283" t="s">
        <v>325</v>
      </c>
      <c r="F7" s="283" t="s">
        <v>381</v>
      </c>
    </row>
    <row r="8" spans="2:9" x14ac:dyDescent="0.25">
      <c r="B8" s="349"/>
      <c r="C8" s="346"/>
      <c r="D8" s="275">
        <f t="shared" si="0"/>
        <v>4</v>
      </c>
      <c r="E8" s="283" t="s">
        <v>328</v>
      </c>
      <c r="F8" s="283" t="s">
        <v>381</v>
      </c>
      <c r="H8" s="297"/>
      <c r="I8" s="297"/>
    </row>
    <row r="9" spans="2:9" x14ac:dyDescent="0.25">
      <c r="B9" s="350"/>
      <c r="C9" s="347"/>
      <c r="D9" s="276">
        <f t="shared" si="0"/>
        <v>5</v>
      </c>
      <c r="E9" s="291" t="s">
        <v>329</v>
      </c>
      <c r="F9" s="291" t="s">
        <v>381</v>
      </c>
      <c r="H9" s="297"/>
      <c r="I9" s="297"/>
    </row>
    <row r="10" spans="2:9" x14ac:dyDescent="0.25">
      <c r="B10" s="290">
        <v>1</v>
      </c>
      <c r="C10" s="327" t="s">
        <v>1</v>
      </c>
      <c r="D10" s="277">
        <f t="shared" si="0"/>
        <v>6</v>
      </c>
      <c r="E10" s="278" t="s">
        <v>2</v>
      </c>
      <c r="F10" s="278" t="s">
        <v>374</v>
      </c>
      <c r="H10" s="297"/>
      <c r="I10" s="297"/>
    </row>
    <row r="11" spans="2:9" x14ac:dyDescent="0.25">
      <c r="B11" s="289">
        <v>2</v>
      </c>
      <c r="C11" s="328" t="s">
        <v>3</v>
      </c>
      <c r="D11" s="293">
        <f t="shared" si="0"/>
        <v>7</v>
      </c>
      <c r="E11" s="279" t="s">
        <v>4</v>
      </c>
      <c r="F11" s="279" t="s">
        <v>374</v>
      </c>
      <c r="H11" s="297"/>
      <c r="I11" s="297"/>
    </row>
    <row r="12" spans="2:9" x14ac:dyDescent="0.25">
      <c r="B12" s="335">
        <v>3</v>
      </c>
      <c r="C12" s="338" t="s">
        <v>5</v>
      </c>
      <c r="D12" s="298">
        <f t="shared" si="0"/>
        <v>8</v>
      </c>
      <c r="E12" s="280" t="s">
        <v>6</v>
      </c>
      <c r="F12" s="280" t="s">
        <v>374</v>
      </c>
      <c r="H12" s="297"/>
      <c r="I12" s="297"/>
    </row>
    <row r="13" spans="2:9" x14ac:dyDescent="0.25">
      <c r="B13" s="336"/>
      <c r="C13" s="339"/>
      <c r="D13" s="299">
        <f t="shared" si="0"/>
        <v>9</v>
      </c>
      <c r="E13" s="32" t="s">
        <v>372</v>
      </c>
      <c r="F13" s="32" t="s">
        <v>374</v>
      </c>
      <c r="H13" s="297"/>
      <c r="I13" s="297"/>
    </row>
    <row r="14" spans="2:9" x14ac:dyDescent="0.25">
      <c r="B14" s="336"/>
      <c r="C14" s="339"/>
      <c r="D14" s="300">
        <f t="shared" si="0"/>
        <v>10</v>
      </c>
      <c r="E14" s="281" t="s">
        <v>7</v>
      </c>
      <c r="F14" s="281" t="s">
        <v>374</v>
      </c>
      <c r="H14" s="297"/>
      <c r="I14" s="297"/>
    </row>
    <row r="15" spans="2:9" x14ac:dyDescent="0.25">
      <c r="B15" s="336"/>
      <c r="C15" s="339"/>
      <c r="D15" s="300">
        <f t="shared" si="0"/>
        <v>11</v>
      </c>
      <c r="E15" s="281" t="s">
        <v>8</v>
      </c>
      <c r="F15" s="281" t="s">
        <v>374</v>
      </c>
    </row>
    <row r="16" spans="2:9" x14ac:dyDescent="0.25">
      <c r="B16" s="336"/>
      <c r="C16" s="339"/>
      <c r="D16" s="301">
        <f t="shared" si="0"/>
        <v>12</v>
      </c>
      <c r="E16" s="32" t="s">
        <v>378</v>
      </c>
      <c r="F16" s="32" t="s">
        <v>374</v>
      </c>
    </row>
    <row r="17" spans="2:6" x14ac:dyDescent="0.25">
      <c r="B17" s="336"/>
      <c r="C17" s="339"/>
      <c r="D17" s="300">
        <f t="shared" si="0"/>
        <v>13</v>
      </c>
      <c r="E17" s="281" t="s">
        <v>9</v>
      </c>
      <c r="F17" s="281" t="s">
        <v>374</v>
      </c>
    </row>
    <row r="18" spans="2:6" x14ac:dyDescent="0.25">
      <c r="B18" s="336"/>
      <c r="C18" s="339"/>
      <c r="D18" s="300">
        <f t="shared" si="0"/>
        <v>14</v>
      </c>
      <c r="E18" s="281" t="s">
        <v>330</v>
      </c>
      <c r="F18" s="281" t="s">
        <v>381</v>
      </c>
    </row>
    <row r="19" spans="2:6" x14ac:dyDescent="0.25">
      <c r="B19" s="336"/>
      <c r="C19" s="339"/>
      <c r="D19" s="300">
        <f t="shared" si="0"/>
        <v>15</v>
      </c>
      <c r="E19" s="281" t="s">
        <v>375</v>
      </c>
      <c r="F19" s="281" t="s">
        <v>381</v>
      </c>
    </row>
    <row r="20" spans="2:6" x14ac:dyDescent="0.25">
      <c r="B20" s="336"/>
      <c r="C20" s="339"/>
      <c r="D20" s="300">
        <f t="shared" si="0"/>
        <v>16</v>
      </c>
      <c r="E20" s="281" t="s">
        <v>376</v>
      </c>
      <c r="F20" s="281" t="s">
        <v>381</v>
      </c>
    </row>
    <row r="21" spans="2:6" x14ac:dyDescent="0.25">
      <c r="B21" s="336"/>
      <c r="C21" s="339"/>
      <c r="D21" s="300">
        <f t="shared" si="0"/>
        <v>17</v>
      </c>
      <c r="E21" s="281" t="s">
        <v>377</v>
      </c>
      <c r="F21" s="281" t="s">
        <v>381</v>
      </c>
    </row>
    <row r="22" spans="2:6" x14ac:dyDescent="0.25">
      <c r="B22" s="341">
        <v>4</v>
      </c>
      <c r="C22" s="343" t="s">
        <v>10</v>
      </c>
      <c r="D22" s="295">
        <f t="shared" si="0"/>
        <v>18</v>
      </c>
      <c r="E22" s="282" t="s">
        <v>11</v>
      </c>
      <c r="F22" s="282" t="s">
        <v>374</v>
      </c>
    </row>
    <row r="23" spans="2:6" x14ac:dyDescent="0.25">
      <c r="B23" s="352"/>
      <c r="C23" s="351"/>
      <c r="D23" s="294">
        <f t="shared" si="0"/>
        <v>19</v>
      </c>
      <c r="E23" s="283" t="s">
        <v>12</v>
      </c>
      <c r="F23" s="283" t="s">
        <v>374</v>
      </c>
    </row>
    <row r="24" spans="2:6" x14ac:dyDescent="0.25">
      <c r="B24" s="352"/>
      <c r="C24" s="351"/>
      <c r="D24" s="294">
        <f t="shared" si="0"/>
        <v>20</v>
      </c>
      <c r="E24" s="283" t="s">
        <v>13</v>
      </c>
      <c r="F24" s="283" t="s">
        <v>374</v>
      </c>
    </row>
    <row r="25" spans="2:6" x14ac:dyDescent="0.25">
      <c r="B25" s="342"/>
      <c r="C25" s="344"/>
      <c r="D25" s="276">
        <f t="shared" si="0"/>
        <v>21</v>
      </c>
      <c r="E25" s="284" t="s">
        <v>379</v>
      </c>
      <c r="F25" s="284" t="s">
        <v>381</v>
      </c>
    </row>
    <row r="26" spans="2:6" x14ac:dyDescent="0.25">
      <c r="B26" s="335">
        <v>5</v>
      </c>
      <c r="C26" s="338" t="s">
        <v>14</v>
      </c>
      <c r="D26" s="302">
        <f t="shared" si="0"/>
        <v>22</v>
      </c>
      <c r="E26" s="285" t="s">
        <v>15</v>
      </c>
      <c r="F26" s="285" t="s">
        <v>374</v>
      </c>
    </row>
    <row r="27" spans="2:6" x14ac:dyDescent="0.25">
      <c r="B27" s="336"/>
      <c r="C27" s="339"/>
      <c r="D27" s="299">
        <f t="shared" si="0"/>
        <v>23</v>
      </c>
      <c r="E27" s="286" t="s">
        <v>16</v>
      </c>
      <c r="F27" s="286" t="s">
        <v>374</v>
      </c>
    </row>
    <row r="28" spans="2:6" x14ac:dyDescent="0.25">
      <c r="B28" s="336"/>
      <c r="C28" s="339"/>
      <c r="D28" s="299">
        <f t="shared" si="0"/>
        <v>24</v>
      </c>
      <c r="E28" s="286" t="s">
        <v>17</v>
      </c>
      <c r="F28" s="286" t="s">
        <v>374</v>
      </c>
    </row>
    <row r="29" spans="2:6" x14ac:dyDescent="0.25">
      <c r="B29" s="337"/>
      <c r="C29" s="340"/>
      <c r="D29" s="277">
        <f t="shared" si="0"/>
        <v>25</v>
      </c>
      <c r="E29" s="278" t="s">
        <v>380</v>
      </c>
      <c r="F29" s="278" t="s">
        <v>381</v>
      </c>
    </row>
    <row r="30" spans="2:6" x14ac:dyDescent="0.25">
      <c r="B30" s="341">
        <v>6</v>
      </c>
      <c r="C30" s="343" t="s">
        <v>18</v>
      </c>
      <c r="D30" s="295">
        <f t="shared" si="0"/>
        <v>26</v>
      </c>
      <c r="E30" s="287" t="s">
        <v>43</v>
      </c>
      <c r="F30" s="287" t="s">
        <v>374</v>
      </c>
    </row>
    <row r="31" spans="2:6" x14ac:dyDescent="0.25">
      <c r="B31" s="342"/>
      <c r="C31" s="344"/>
      <c r="D31" s="296">
        <f t="shared" si="0"/>
        <v>27</v>
      </c>
      <c r="E31" s="288" t="s">
        <v>44</v>
      </c>
      <c r="F31" s="288" t="s">
        <v>374</v>
      </c>
    </row>
    <row r="32" spans="2:6" ht="15" customHeight="1" x14ac:dyDescent="0.25">
      <c r="B32" s="335">
        <v>7</v>
      </c>
      <c r="C32" s="338" t="s">
        <v>19</v>
      </c>
      <c r="D32" s="302">
        <f t="shared" si="0"/>
        <v>28</v>
      </c>
      <c r="E32" s="285" t="s">
        <v>41</v>
      </c>
      <c r="F32" s="285" t="s">
        <v>374</v>
      </c>
    </row>
    <row r="33" spans="2:6" x14ac:dyDescent="0.25">
      <c r="B33" s="336"/>
      <c r="C33" s="339"/>
      <c r="D33" s="299">
        <f t="shared" si="0"/>
        <v>29</v>
      </c>
      <c r="E33" s="32" t="s">
        <v>20</v>
      </c>
      <c r="F33" s="32" t="s">
        <v>374</v>
      </c>
    </row>
    <row r="34" spans="2:6" x14ac:dyDescent="0.25">
      <c r="B34" s="336"/>
      <c r="C34" s="339"/>
      <c r="D34" s="299">
        <f t="shared" si="0"/>
        <v>30</v>
      </c>
      <c r="E34" s="32" t="s">
        <v>21</v>
      </c>
      <c r="F34" s="32" t="s">
        <v>374</v>
      </c>
    </row>
    <row r="35" spans="2:6" x14ac:dyDescent="0.25">
      <c r="B35" s="337"/>
      <c r="C35" s="340"/>
      <c r="D35" s="303">
        <f t="shared" si="0"/>
        <v>31</v>
      </c>
      <c r="E35" s="38" t="s">
        <v>22</v>
      </c>
      <c r="F35" s="38" t="s">
        <v>374</v>
      </c>
    </row>
    <row r="36" spans="2:6" x14ac:dyDescent="0.25"/>
    <row r="37" spans="2:6" x14ac:dyDescent="0.25"/>
    <row r="38" spans="2:6" x14ac:dyDescent="0.25">
      <c r="C38" s="292"/>
      <c r="D38" s="292"/>
      <c r="E38" s="292"/>
      <c r="F38" s="292"/>
    </row>
    <row r="39" spans="2:6" hidden="1" x14ac:dyDescent="0.25">
      <c r="C39" s="292"/>
      <c r="D39" s="292"/>
      <c r="E39" s="292"/>
      <c r="F39" s="292"/>
    </row>
    <row r="40" spans="2:6" hidden="1" x14ac:dyDescent="0.25">
      <c r="C40" s="292"/>
      <c r="D40" s="292"/>
      <c r="E40" s="292"/>
      <c r="F40" s="292"/>
    </row>
    <row r="41" spans="2:6" hidden="1" x14ac:dyDescent="0.25">
      <c r="C41" s="292"/>
      <c r="D41" s="292"/>
      <c r="E41" s="292"/>
      <c r="F41" s="292"/>
    </row>
    <row r="42" spans="2:6" hidden="1" x14ac:dyDescent="0.25">
      <c r="C42" s="292"/>
      <c r="D42" s="292"/>
      <c r="E42" s="292"/>
      <c r="F42" s="292"/>
    </row>
    <row r="43" spans="2:6" hidden="1" x14ac:dyDescent="0.25">
      <c r="C43" s="292"/>
      <c r="D43" s="292"/>
      <c r="E43" s="292"/>
      <c r="F43" s="292"/>
    </row>
  </sheetData>
  <dataConsolidate/>
  <mergeCells count="12">
    <mergeCell ref="C5:C9"/>
    <mergeCell ref="B5:B9"/>
    <mergeCell ref="C22:C25"/>
    <mergeCell ref="B22:B25"/>
    <mergeCell ref="B12:B21"/>
    <mergeCell ref="C12:C21"/>
    <mergeCell ref="B32:B35"/>
    <mergeCell ref="C32:C35"/>
    <mergeCell ref="B26:B29"/>
    <mergeCell ref="C26:C29"/>
    <mergeCell ref="B30:B31"/>
    <mergeCell ref="C30:C31"/>
  </mergeCells>
  <hyperlinks>
    <hyperlink ref="C5:C9" location="'0. Energy Production'!A1" display="Energy production" xr:uid="{740ADF9C-129D-4617-8E98-BD2E6F67E557}"/>
    <hyperlink ref="C10" location="'1. Liquefaction'!A1" display="Liquefaction technologies" xr:uid="{FB31AA3D-0880-44D8-9895-E769A163D6F1}"/>
    <hyperlink ref="C11" location="'2. Regasification'!A1" display="Regasification technologies" xr:uid="{42379F4F-B3E7-4BF3-AAF5-FB9127329069}"/>
    <hyperlink ref="C12:C21" location="'3. Conversion'!A1" display="Conversion technologies" xr:uid="{6E737E78-84C0-4DC9-9B82-0337F150C298}"/>
    <hyperlink ref="C22:C25" location="'4. Storage'!A1" display="Storage technologies" xr:uid="{6EF4A021-1B10-42F2-8535-A59431F09D07}"/>
    <hyperlink ref="C26:C29" location="'5. Shipping'!A1" display="Shipping technologies" xr:uid="{71BC795D-3DE7-4A67-AA8B-F1F31DC55E37}"/>
    <hyperlink ref="C30:C31" location="'6. Transport'!A1" display="Transport technologies" xr:uid="{708410E6-CAD5-4AE3-A71D-E638B4DDD2DC}"/>
    <hyperlink ref="C32:C35" location="'7. CCUS'!A1" display="CCUS technologies" xr:uid="{D792639A-00CF-429D-B1FA-74F40CD46408}"/>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5164B-DE59-4949-A4A0-905560D99212}">
  <dimension ref="A1:L54"/>
  <sheetViews>
    <sheetView showGridLines="0" zoomScale="70" zoomScaleNormal="70" workbookViewId="0">
      <selection activeCell="A55" sqref="A55"/>
    </sheetView>
  </sheetViews>
  <sheetFormatPr defaultColWidth="0" defaultRowHeight="15" zeroHeight="1" x14ac:dyDescent="0.25"/>
  <cols>
    <col min="1" max="1" width="6.7109375" customWidth="1"/>
    <col min="2" max="2" width="31" customWidth="1"/>
    <col min="3" max="3" width="10.5703125" bestFit="1" customWidth="1"/>
    <col min="4" max="6" width="9.140625" customWidth="1"/>
    <col min="7" max="7" width="13.7109375" bestFit="1" customWidth="1"/>
    <col min="8" max="12" width="9.140625" customWidth="1"/>
    <col min="13" max="16384" width="9.140625" hidden="1"/>
  </cols>
  <sheetData>
    <row r="1" spans="2:8" x14ac:dyDescent="0.25">
      <c r="B1" s="1" t="s">
        <v>382</v>
      </c>
    </row>
    <row r="2" spans="2:8" x14ac:dyDescent="0.25"/>
    <row r="3" spans="2:8" ht="15.75" thickBot="1" x14ac:dyDescent="0.3">
      <c r="B3" s="9" t="s">
        <v>34</v>
      </c>
      <c r="C3" s="2"/>
      <c r="D3" s="2"/>
      <c r="E3" s="2"/>
      <c r="F3" s="2"/>
      <c r="G3" s="2"/>
      <c r="H3" s="2"/>
    </row>
    <row r="4" spans="2:8" x14ac:dyDescent="0.25">
      <c r="B4" s="1"/>
    </row>
    <row r="5" spans="2:8" x14ac:dyDescent="0.25">
      <c r="B5" s="1"/>
    </row>
    <row r="6" spans="2:8" x14ac:dyDescent="0.25">
      <c r="B6" s="1"/>
    </row>
    <row r="7" spans="2:8" ht="15.75" thickBot="1" x14ac:dyDescent="0.3">
      <c r="B7" s="9" t="s">
        <v>33</v>
      </c>
      <c r="C7" s="2"/>
      <c r="D7" s="2"/>
      <c r="E7" s="2"/>
      <c r="F7" s="2"/>
      <c r="G7" s="2"/>
      <c r="H7" s="2"/>
    </row>
    <row r="8" spans="2:8" x14ac:dyDescent="0.25">
      <c r="B8" s="1" t="s">
        <v>135</v>
      </c>
      <c r="C8">
        <v>1.1499999999999999</v>
      </c>
    </row>
    <row r="9" spans="2:8" x14ac:dyDescent="0.25">
      <c r="B9" s="1" t="s">
        <v>136</v>
      </c>
      <c r="C9">
        <v>0.9</v>
      </c>
    </row>
    <row r="10" spans="2:8" x14ac:dyDescent="0.25">
      <c r="B10" s="1" t="s">
        <v>157</v>
      </c>
      <c r="C10">
        <v>0.1</v>
      </c>
    </row>
    <row r="11" spans="2:8" x14ac:dyDescent="0.25">
      <c r="B11" s="1"/>
    </row>
    <row r="12" spans="2:8" ht="15.75" thickBot="1" x14ac:dyDescent="0.3">
      <c r="B12" s="9" t="s">
        <v>36</v>
      </c>
      <c r="C12" s="2"/>
      <c r="D12" s="2"/>
      <c r="E12" s="2"/>
      <c r="F12" s="2"/>
      <c r="G12" s="2"/>
      <c r="H12" s="2"/>
    </row>
    <row r="13" spans="2:8" x14ac:dyDescent="0.25">
      <c r="B13" s="5" t="s">
        <v>37</v>
      </c>
      <c r="C13" t="s">
        <v>38</v>
      </c>
      <c r="D13" t="s">
        <v>39</v>
      </c>
      <c r="E13" t="s">
        <v>40</v>
      </c>
      <c r="F13" t="s">
        <v>114</v>
      </c>
    </row>
    <row r="14" spans="2:8" x14ac:dyDescent="0.25">
      <c r="B14" s="5"/>
      <c r="C14">
        <v>120</v>
      </c>
      <c r="D14">
        <v>10.8</v>
      </c>
      <c r="E14">
        <v>8.9800000000000005E-2</v>
      </c>
      <c r="F14">
        <v>33.299999999999997</v>
      </c>
    </row>
    <row r="15" spans="2:8" x14ac:dyDescent="0.25"/>
    <row r="16" spans="2:8" ht="15.75" thickBot="1" x14ac:dyDescent="0.3">
      <c r="B16" s="9" t="s">
        <v>35</v>
      </c>
      <c r="C16" s="2"/>
      <c r="D16" s="2"/>
      <c r="E16" s="2"/>
      <c r="F16" s="2"/>
      <c r="G16" s="2"/>
      <c r="H16" s="2"/>
    </row>
    <row r="17" spans="2:8" x14ac:dyDescent="0.25"/>
    <row r="18" spans="2:8" x14ac:dyDescent="0.25">
      <c r="B18" t="s">
        <v>146</v>
      </c>
      <c r="C18">
        <f>1/3.6</f>
        <v>0.27777777777777779</v>
      </c>
    </row>
    <row r="19" spans="2:8" x14ac:dyDescent="0.25"/>
    <row r="20" spans="2:8" x14ac:dyDescent="0.25"/>
    <row r="21" spans="2:8" ht="15.75" thickBot="1" x14ac:dyDescent="0.3">
      <c r="B21" s="9" t="s">
        <v>139</v>
      </c>
      <c r="C21" s="2"/>
      <c r="D21" s="2"/>
      <c r="E21" s="2"/>
      <c r="F21" s="2"/>
      <c r="G21" s="2"/>
      <c r="H21" s="2"/>
    </row>
    <row r="22" spans="2:8" x14ac:dyDescent="0.25">
      <c r="B22" s="29"/>
      <c r="C22" s="8"/>
      <c r="D22" s="8"/>
      <c r="E22" s="8"/>
      <c r="F22" s="8"/>
      <c r="G22" s="8"/>
      <c r="H22" s="8"/>
    </row>
    <row r="23" spans="2:8" x14ac:dyDescent="0.25">
      <c r="B23" s="1" t="s">
        <v>163</v>
      </c>
      <c r="C23" s="94" t="s">
        <v>140</v>
      </c>
      <c r="D23" s="94" t="s">
        <v>141</v>
      </c>
      <c r="E23" s="94"/>
      <c r="F23" s="94" t="s">
        <v>140</v>
      </c>
      <c r="G23" s="94" t="s">
        <v>141</v>
      </c>
    </row>
    <row r="24" spans="2:8" x14ac:dyDescent="0.25">
      <c r="C24" s="94" t="s">
        <v>164</v>
      </c>
      <c r="D24" s="94" t="s">
        <v>164</v>
      </c>
      <c r="E24" s="94"/>
      <c r="F24" s="94" t="s">
        <v>165</v>
      </c>
      <c r="G24" s="94" t="s">
        <v>165</v>
      </c>
    </row>
    <row r="25" spans="2:8" x14ac:dyDescent="0.25">
      <c r="B25" t="s">
        <v>223</v>
      </c>
      <c r="C25" s="98">
        <f>C36*$D43</f>
        <v>10.784403999999999</v>
      </c>
      <c r="D25" s="98">
        <f>D36*$D43</f>
        <v>12.740627999999999</v>
      </c>
      <c r="E25" s="98"/>
      <c r="F25" s="100">
        <f t="shared" ref="F25:F28" si="0">C25/3.6/1000</f>
        <v>2.9956677777777775E-3</v>
      </c>
      <c r="G25" s="100">
        <f t="shared" ref="G25:G28" si="1">D25/3.6/1000</f>
        <v>3.539063333333333E-3</v>
      </c>
      <c r="H25" s="8"/>
    </row>
    <row r="26" spans="2:8" x14ac:dyDescent="0.25">
      <c r="B26" t="s">
        <v>222</v>
      </c>
      <c r="C26" s="98">
        <f>C37*$D44</f>
        <v>13.4796</v>
      </c>
      <c r="D26" s="98">
        <f>D37*$D44</f>
        <v>16.1325</v>
      </c>
      <c r="E26" s="98"/>
      <c r="F26" s="100">
        <f t="shared" si="0"/>
        <v>3.744333333333333E-3</v>
      </c>
      <c r="G26" s="100">
        <f t="shared" si="1"/>
        <v>4.48125E-3</v>
      </c>
      <c r="H26" s="8"/>
    </row>
    <row r="27" spans="2:8" x14ac:dyDescent="0.25">
      <c r="B27" t="s">
        <v>396</v>
      </c>
      <c r="C27" s="99">
        <v>36.6</v>
      </c>
      <c r="D27" s="99">
        <v>40.6</v>
      </c>
      <c r="E27" s="99"/>
      <c r="F27" s="100">
        <f t="shared" si="0"/>
        <v>1.0166666666666666E-2</v>
      </c>
      <c r="G27" s="100">
        <f t="shared" si="1"/>
        <v>1.1277777777777779E-2</v>
      </c>
      <c r="H27" s="8"/>
    </row>
    <row r="28" spans="2:8" x14ac:dyDescent="0.25">
      <c r="B28" t="s">
        <v>142</v>
      </c>
      <c r="C28" s="99">
        <f>C39*$D46</f>
        <v>15772.679999999998</v>
      </c>
      <c r="D28" s="99">
        <f>D39*$D46</f>
        <v>17949.096000000001</v>
      </c>
      <c r="E28" s="99"/>
      <c r="F28" s="312">
        <f t="shared" si="0"/>
        <v>4.3812999999999995</v>
      </c>
      <c r="G28" s="312">
        <f t="shared" si="1"/>
        <v>4.9858600000000006</v>
      </c>
      <c r="H28" s="8"/>
    </row>
    <row r="29" spans="2:8" x14ac:dyDescent="0.25">
      <c r="B29" t="s">
        <v>168</v>
      </c>
      <c r="C29" s="313">
        <v>8517.16</v>
      </c>
      <c r="D29" s="313">
        <v>10062.120000000001</v>
      </c>
      <c r="E29" s="140"/>
      <c r="F29" s="314">
        <f t="shared" ref="F29:G31" si="2">C29/3.6/1000</f>
        <v>2.3658777777777775</v>
      </c>
      <c r="G29" s="314">
        <f t="shared" si="2"/>
        <v>2.7950333333333335</v>
      </c>
      <c r="H29" s="315"/>
    </row>
    <row r="30" spans="2:8" x14ac:dyDescent="0.25">
      <c r="B30" t="s">
        <v>225</v>
      </c>
      <c r="C30" s="316">
        <v>11956.800000000001</v>
      </c>
      <c r="D30" s="316">
        <v>14310</v>
      </c>
      <c r="E30" s="316"/>
      <c r="F30" s="314">
        <f t="shared" si="2"/>
        <v>3.3213333333333335</v>
      </c>
      <c r="G30" s="314">
        <f t="shared" si="2"/>
        <v>3.9750000000000001</v>
      </c>
      <c r="H30" s="315"/>
    </row>
    <row r="31" spans="2:8" x14ac:dyDescent="0.25">
      <c r="B31" t="s">
        <v>226</v>
      </c>
      <c r="C31" s="316">
        <v>21430.5</v>
      </c>
      <c r="D31" s="316">
        <v>23751</v>
      </c>
      <c r="E31" s="316"/>
      <c r="F31" s="314">
        <f t="shared" si="2"/>
        <v>5.9529166666666669</v>
      </c>
      <c r="G31" s="314">
        <f t="shared" si="2"/>
        <v>6.5975000000000001</v>
      </c>
      <c r="H31" s="315"/>
    </row>
    <row r="32" spans="2:8" x14ac:dyDescent="0.25">
      <c r="C32" s="316"/>
      <c r="D32" s="316"/>
      <c r="E32" s="316"/>
      <c r="F32" s="317"/>
      <c r="G32" s="317"/>
      <c r="H32" s="315"/>
    </row>
    <row r="33" spans="2:8" x14ac:dyDescent="0.25">
      <c r="C33" s="315"/>
      <c r="D33" s="315"/>
      <c r="E33" s="315"/>
      <c r="F33" s="315"/>
      <c r="G33" s="315"/>
      <c r="H33" s="315"/>
    </row>
    <row r="34" spans="2:8" x14ac:dyDescent="0.25">
      <c r="B34" s="1" t="s">
        <v>162</v>
      </c>
      <c r="C34" s="318" t="s">
        <v>140</v>
      </c>
      <c r="D34" s="318" t="s">
        <v>141</v>
      </c>
      <c r="E34" s="318"/>
      <c r="F34" s="318" t="s">
        <v>140</v>
      </c>
      <c r="G34" s="318" t="s">
        <v>141</v>
      </c>
      <c r="H34" s="140"/>
    </row>
    <row r="35" spans="2:8" x14ac:dyDescent="0.25">
      <c r="C35" s="318" t="s">
        <v>38</v>
      </c>
      <c r="D35" s="318" t="s">
        <v>38</v>
      </c>
      <c r="E35" s="318"/>
      <c r="F35" s="318" t="s">
        <v>114</v>
      </c>
      <c r="G35" s="318" t="s">
        <v>114</v>
      </c>
      <c r="H35" s="140"/>
    </row>
    <row r="36" spans="2:8" x14ac:dyDescent="0.25">
      <c r="B36" t="s">
        <v>223</v>
      </c>
      <c r="C36" s="319">
        <v>119.96</v>
      </c>
      <c r="D36" s="319">
        <v>141.72</v>
      </c>
      <c r="E36" s="140"/>
      <c r="F36" s="319">
        <f>C36/3.6</f>
        <v>33.322222222222223</v>
      </c>
      <c r="G36" s="319">
        <f t="shared" ref="F36:G39" si="3">D36/3.6</f>
        <v>39.366666666666667</v>
      </c>
      <c r="H36" s="140"/>
    </row>
    <row r="37" spans="2:8" x14ac:dyDescent="0.25">
      <c r="B37" t="s">
        <v>222</v>
      </c>
      <c r="C37" s="319">
        <v>18.8</v>
      </c>
      <c r="D37" s="319">
        <v>22.5</v>
      </c>
      <c r="E37" s="140"/>
      <c r="F37" s="319">
        <f>C37/3.6</f>
        <v>5.2222222222222223</v>
      </c>
      <c r="G37" s="319">
        <f t="shared" si="3"/>
        <v>6.25</v>
      </c>
      <c r="H37" s="140"/>
    </row>
    <row r="38" spans="2:8" x14ac:dyDescent="0.25">
      <c r="B38" t="s">
        <v>396</v>
      </c>
      <c r="C38" s="319">
        <v>47.1</v>
      </c>
      <c r="D38" s="319">
        <v>52.2</v>
      </c>
      <c r="E38" s="140"/>
      <c r="F38" s="319">
        <f>C38/3.6</f>
        <v>13.083333333333334</v>
      </c>
      <c r="G38" s="319">
        <f t="shared" ref="G38" si="4">D38/3.6</f>
        <v>14.5</v>
      </c>
      <c r="H38" s="140"/>
    </row>
    <row r="39" spans="2:8" x14ac:dyDescent="0.25">
      <c r="B39" t="s">
        <v>142</v>
      </c>
      <c r="C39" s="319">
        <v>19.914999999999999</v>
      </c>
      <c r="D39" s="319">
        <v>22.663</v>
      </c>
      <c r="E39" s="140"/>
      <c r="F39" s="319">
        <f t="shared" si="3"/>
        <v>5.5319444444444441</v>
      </c>
      <c r="G39" s="319">
        <f t="shared" si="3"/>
        <v>6.2952777777777778</v>
      </c>
      <c r="H39" s="140"/>
    </row>
    <row r="40" spans="2:8" x14ac:dyDescent="0.25">
      <c r="C40" s="140"/>
      <c r="D40" s="140"/>
      <c r="E40" s="140"/>
      <c r="F40" s="140"/>
      <c r="G40" s="140"/>
      <c r="H40" s="140"/>
    </row>
    <row r="41" spans="2:8" x14ac:dyDescent="0.25">
      <c r="B41" s="1" t="s">
        <v>159</v>
      </c>
      <c r="C41" s="140"/>
      <c r="D41" s="140"/>
      <c r="E41" s="140"/>
      <c r="F41" s="140"/>
      <c r="G41" s="140"/>
      <c r="H41" s="140"/>
    </row>
    <row r="42" spans="2:8" x14ac:dyDescent="0.25">
      <c r="C42" s="318" t="s">
        <v>161</v>
      </c>
      <c r="D42" s="318" t="s">
        <v>160</v>
      </c>
      <c r="E42" s="318"/>
      <c r="F42" s="318"/>
      <c r="G42" s="318"/>
      <c r="H42" s="140"/>
    </row>
    <row r="43" spans="2:8" x14ac:dyDescent="0.25">
      <c r="B43" t="s">
        <v>223</v>
      </c>
      <c r="C43" s="320">
        <f t="shared" ref="C43:C49" si="5">D43/1000</f>
        <v>8.989999999999999E-5</v>
      </c>
      <c r="D43" s="140">
        <v>8.9899999999999994E-2</v>
      </c>
      <c r="E43" s="140"/>
      <c r="F43" s="140"/>
      <c r="G43" s="321"/>
      <c r="H43" s="140"/>
    </row>
    <row r="44" spans="2:8" x14ac:dyDescent="0.25">
      <c r="B44" t="s">
        <v>222</v>
      </c>
      <c r="C44" s="140">
        <f t="shared" si="5"/>
        <v>7.1699999999999997E-4</v>
      </c>
      <c r="D44" s="140">
        <v>0.71699999999999997</v>
      </c>
      <c r="E44" s="140"/>
      <c r="F44" s="140"/>
      <c r="G44" s="140"/>
      <c r="H44" s="140"/>
    </row>
    <row r="45" spans="2:8" x14ac:dyDescent="0.25">
      <c r="B45" t="s">
        <v>396</v>
      </c>
      <c r="C45" s="140">
        <f t="shared" si="5"/>
        <v>7.1599999999999995E-4</v>
      </c>
      <c r="D45" s="140">
        <v>0.71599999999999997</v>
      </c>
      <c r="E45" s="140"/>
      <c r="F45" s="140"/>
      <c r="G45" s="140"/>
      <c r="H45" s="140"/>
    </row>
    <row r="46" spans="2:8" x14ac:dyDescent="0.25">
      <c r="B46" t="s">
        <v>142</v>
      </c>
      <c r="C46" s="140">
        <f t="shared" si="5"/>
        <v>0.79200000000000004</v>
      </c>
      <c r="D46" s="140">
        <v>792</v>
      </c>
      <c r="E46" s="140"/>
      <c r="F46" s="140"/>
      <c r="G46" s="140"/>
      <c r="H46" s="140"/>
    </row>
    <row r="47" spans="2:8" x14ac:dyDescent="0.25">
      <c r="B47" t="s">
        <v>168</v>
      </c>
      <c r="C47">
        <f t="shared" si="5"/>
        <v>7.0999999999999994E-2</v>
      </c>
      <c r="D47">
        <v>71</v>
      </c>
      <c r="F47" s="92"/>
      <c r="G47" s="92"/>
    </row>
    <row r="48" spans="2:8" x14ac:dyDescent="0.25">
      <c r="B48" t="s">
        <v>225</v>
      </c>
      <c r="C48">
        <f>D48/1000</f>
        <v>0.63600000000000001</v>
      </c>
      <c r="D48">
        <v>636</v>
      </c>
      <c r="F48" s="92"/>
      <c r="G48" s="92"/>
    </row>
    <row r="49" spans="2:7" x14ac:dyDescent="0.25">
      <c r="B49" t="s">
        <v>226</v>
      </c>
      <c r="C49">
        <f t="shared" si="5"/>
        <v>0.45500000000000002</v>
      </c>
      <c r="D49">
        <f>(410+500)/2</f>
        <v>455</v>
      </c>
      <c r="F49" s="92"/>
      <c r="G49" s="92"/>
    </row>
    <row r="50" spans="2:7" x14ac:dyDescent="0.25"/>
    <row r="51" spans="2:7" x14ac:dyDescent="0.25">
      <c r="B51" s="1" t="s">
        <v>397</v>
      </c>
      <c r="C51" s="94" t="s">
        <v>399</v>
      </c>
    </row>
    <row r="52" spans="2:7" x14ac:dyDescent="0.25">
      <c r="B52" s="5" t="s">
        <v>398</v>
      </c>
      <c r="C52" s="311">
        <v>6.4000000000000001E-2</v>
      </c>
    </row>
    <row r="53" spans="2:7" x14ac:dyDescent="0.25"/>
    <row r="54" spans="2:7" x14ac:dyDescent="0.25"/>
  </sheetData>
  <phoneticPr fontId="4"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CF112-7A31-49D0-A881-2E0C815C269E}">
  <dimension ref="A3:V33"/>
  <sheetViews>
    <sheetView showGridLines="0" zoomScale="85" zoomScaleNormal="85" workbookViewId="0">
      <pane ySplit="4" topLeftCell="A5" activePane="bottomLeft" state="frozen"/>
      <selection pane="bottomLeft"/>
    </sheetView>
  </sheetViews>
  <sheetFormatPr defaultColWidth="0" defaultRowHeight="15" x14ac:dyDescent="0.25"/>
  <cols>
    <col min="1" max="1" width="63.140625" customWidth="1"/>
    <col min="2" max="2" width="11.5703125" bestFit="1" customWidth="1"/>
    <col min="3" max="3" width="12.85546875" bestFit="1" customWidth="1"/>
    <col min="4" max="4" width="20.28515625" style="148" customWidth="1"/>
    <col min="5" max="5" width="15.28515625" customWidth="1"/>
    <col min="6" max="6" width="15.28515625" style="148" customWidth="1"/>
    <col min="7" max="7" width="15.28515625" customWidth="1"/>
    <col min="8" max="8" width="11.42578125" customWidth="1"/>
    <col min="9" max="11" width="9.140625" customWidth="1"/>
    <col min="12" max="12" width="21.5703125" customWidth="1"/>
    <col min="13" max="13" width="23.140625" customWidth="1"/>
    <col min="14" max="14" width="63.5703125" style="241" customWidth="1"/>
    <col min="15" max="15" width="10.5703125" bestFit="1" customWidth="1"/>
    <col min="16" max="17" width="9.140625" customWidth="1"/>
    <col min="18" max="18" width="11" hidden="1" customWidth="1"/>
    <col min="19" max="21" width="9.140625" hidden="1" customWidth="1"/>
    <col min="22" max="22" width="10" hidden="1" customWidth="1"/>
    <col min="23" max="16384" width="9.140625" hidden="1"/>
  </cols>
  <sheetData>
    <row r="3" spans="1:18" x14ac:dyDescent="0.25">
      <c r="A3" s="8"/>
    </row>
    <row r="4" spans="1:18" ht="30.75" thickBot="1" x14ac:dyDescent="0.3">
      <c r="A4" s="6" t="s">
        <v>23</v>
      </c>
      <c r="B4" s="173" t="s">
        <v>25</v>
      </c>
      <c r="C4" s="4" t="s">
        <v>31</v>
      </c>
      <c r="D4" s="173" t="s">
        <v>108</v>
      </c>
      <c r="E4" s="4" t="s">
        <v>31</v>
      </c>
      <c r="F4" s="173" t="s">
        <v>109</v>
      </c>
      <c r="G4" s="4" t="s">
        <v>31</v>
      </c>
      <c r="H4" s="322" t="s">
        <v>403</v>
      </c>
      <c r="I4" s="4" t="s">
        <v>31</v>
      </c>
      <c r="J4" s="2" t="s">
        <v>29</v>
      </c>
      <c r="K4" s="4" t="s">
        <v>32</v>
      </c>
      <c r="L4" s="2" t="s">
        <v>30</v>
      </c>
      <c r="M4" s="3" t="s">
        <v>27</v>
      </c>
      <c r="N4" s="242" t="s">
        <v>26</v>
      </c>
    </row>
    <row r="5" spans="1:18" x14ac:dyDescent="0.25">
      <c r="A5" s="16" t="s">
        <v>313</v>
      </c>
      <c r="B5" s="108"/>
      <c r="C5" s="17"/>
      <c r="D5" s="107"/>
      <c r="E5" s="17"/>
      <c r="F5" s="107"/>
      <c r="G5" s="17"/>
      <c r="H5" s="108"/>
      <c r="I5" s="17"/>
      <c r="J5" s="17"/>
      <c r="K5" s="17"/>
      <c r="L5" s="17"/>
      <c r="M5" s="18" t="s">
        <v>28</v>
      </c>
      <c r="N5" s="19" t="s">
        <v>42</v>
      </c>
    </row>
    <row r="6" spans="1:18" s="140" customFormat="1" ht="15" customHeight="1" x14ac:dyDescent="0.25">
      <c r="A6" s="133"/>
      <c r="B6" s="134">
        <f>5860000/(500*'Conversion factors'!$F$27*1000)</f>
        <v>1152.7868852459017</v>
      </c>
      <c r="C6" s="135" t="s">
        <v>188</v>
      </c>
      <c r="D6" s="181"/>
      <c r="E6" s="136"/>
      <c r="F6" s="250">
        <f>600000/5860000*100</f>
        <v>10.238907849829351</v>
      </c>
      <c r="G6" s="136" t="s">
        <v>284</v>
      </c>
      <c r="H6" s="181">
        <v>95</v>
      </c>
      <c r="I6" s="136" t="s">
        <v>57</v>
      </c>
      <c r="J6" s="181">
        <v>9</v>
      </c>
      <c r="K6" s="150">
        <v>2019</v>
      </c>
      <c r="L6" s="136"/>
      <c r="M6" s="137" t="s">
        <v>317</v>
      </c>
      <c r="N6" s="138" t="s">
        <v>314</v>
      </c>
      <c r="O6" s="139"/>
    </row>
    <row r="7" spans="1:18" x14ac:dyDescent="0.25">
      <c r="A7" s="49"/>
      <c r="B7" s="145">
        <f>9890000/(1000*'Conversion factors'!$F$27*1000)</f>
        <v>972.78688524590166</v>
      </c>
      <c r="C7" s="64" t="s">
        <v>188</v>
      </c>
      <c r="D7" s="91"/>
      <c r="E7" s="53"/>
      <c r="F7" s="251">
        <f>630000/9890000*100</f>
        <v>6.3700707785642061</v>
      </c>
      <c r="G7" s="53" t="s">
        <v>284</v>
      </c>
      <c r="H7" s="73">
        <v>95</v>
      </c>
      <c r="I7" s="50" t="s">
        <v>57</v>
      </c>
      <c r="J7" s="73">
        <v>9</v>
      </c>
      <c r="K7" s="152">
        <v>2019</v>
      </c>
      <c r="L7" s="50"/>
      <c r="M7" s="51" t="s">
        <v>317</v>
      </c>
      <c r="N7" s="143" t="s">
        <v>315</v>
      </c>
      <c r="O7" s="41"/>
      <c r="P7" s="77"/>
      <c r="Q7" s="77"/>
      <c r="R7" s="78"/>
    </row>
    <row r="8" spans="1:18" x14ac:dyDescent="0.25">
      <c r="A8" s="49"/>
      <c r="B8" s="145"/>
      <c r="C8" s="64"/>
      <c r="D8" s="91">
        <v>12</v>
      </c>
      <c r="E8" s="53" t="s">
        <v>158</v>
      </c>
      <c r="F8" s="91"/>
      <c r="G8" s="53"/>
      <c r="H8" s="50"/>
      <c r="I8" s="50"/>
      <c r="J8" s="50"/>
      <c r="K8" s="152"/>
      <c r="L8" s="50"/>
      <c r="M8" s="51" t="s">
        <v>317</v>
      </c>
      <c r="N8" s="81" t="s">
        <v>316</v>
      </c>
      <c r="O8" s="41"/>
    </row>
    <row r="9" spans="1:18" x14ac:dyDescent="0.25">
      <c r="A9" s="49"/>
      <c r="B9" s="145"/>
      <c r="C9" s="64"/>
      <c r="D9" s="91">
        <v>29.4</v>
      </c>
      <c r="E9" s="53" t="s">
        <v>158</v>
      </c>
      <c r="F9" s="91"/>
      <c r="G9" s="53"/>
      <c r="H9" s="50"/>
      <c r="I9" s="50"/>
      <c r="J9" s="50"/>
      <c r="K9" s="152"/>
      <c r="L9" s="50"/>
      <c r="M9" s="51" t="s">
        <v>155</v>
      </c>
      <c r="N9" s="143" t="s">
        <v>316</v>
      </c>
      <c r="O9" s="41"/>
      <c r="P9" s="77"/>
      <c r="Q9" s="77"/>
      <c r="R9" s="78"/>
    </row>
    <row r="10" spans="1:18" x14ac:dyDescent="0.25">
      <c r="A10" s="252"/>
      <c r="B10" s="253"/>
      <c r="C10" s="254"/>
      <c r="D10" s="255"/>
      <c r="E10" s="235"/>
      <c r="F10" s="255"/>
      <c r="G10" s="235"/>
      <c r="H10" s="256"/>
      <c r="I10" s="256"/>
      <c r="J10" s="256"/>
      <c r="K10" s="257"/>
      <c r="L10" s="256"/>
      <c r="M10" s="258"/>
      <c r="N10" s="259"/>
      <c r="O10" s="41"/>
    </row>
    <row r="11" spans="1:18" x14ac:dyDescent="0.25">
      <c r="A11" s="24" t="s">
        <v>369</v>
      </c>
      <c r="B11" s="123"/>
      <c r="C11" s="20"/>
      <c r="D11" s="122"/>
      <c r="E11" s="20"/>
      <c r="F11" s="122"/>
      <c r="G11" s="20"/>
      <c r="H11" s="123"/>
      <c r="I11" s="20"/>
      <c r="J11" s="20"/>
      <c r="K11" s="20"/>
      <c r="L11" s="20"/>
      <c r="M11" s="260"/>
      <c r="N11" s="261"/>
    </row>
    <row r="12" spans="1:18" s="140" customFormat="1" ht="15" customHeight="1" x14ac:dyDescent="0.25">
      <c r="A12" s="133" t="s">
        <v>123</v>
      </c>
      <c r="B12" s="134">
        <v>2410</v>
      </c>
      <c r="C12" s="135" t="s">
        <v>188</v>
      </c>
      <c r="D12" s="181"/>
      <c r="E12" s="136"/>
      <c r="F12" s="248">
        <v>0.25</v>
      </c>
      <c r="G12" s="136" t="s">
        <v>321</v>
      </c>
      <c r="H12" s="181">
        <v>64</v>
      </c>
      <c r="I12" s="136" t="s">
        <v>57</v>
      </c>
      <c r="J12" s="181" t="s">
        <v>318</v>
      </c>
      <c r="K12" s="150">
        <v>2019</v>
      </c>
      <c r="L12" s="136"/>
      <c r="M12" s="137" t="s">
        <v>317</v>
      </c>
      <c r="N12" s="138" t="s">
        <v>319</v>
      </c>
      <c r="O12" s="139"/>
    </row>
    <row r="13" spans="1:18" x14ac:dyDescent="0.25">
      <c r="A13" s="49" t="s">
        <v>323</v>
      </c>
      <c r="B13" s="145">
        <v>1980</v>
      </c>
      <c r="C13" s="64" t="s">
        <v>188</v>
      </c>
      <c r="D13" s="91"/>
      <c r="E13" s="53"/>
      <c r="F13" s="249">
        <v>0.22</v>
      </c>
      <c r="G13" s="53" t="s">
        <v>321</v>
      </c>
      <c r="H13" s="73">
        <v>64</v>
      </c>
      <c r="I13" s="50" t="s">
        <v>57</v>
      </c>
      <c r="J13" s="73" t="s">
        <v>318</v>
      </c>
      <c r="K13" s="152">
        <v>2019</v>
      </c>
      <c r="L13" s="50"/>
      <c r="M13" s="51" t="s">
        <v>317</v>
      </c>
      <c r="N13" s="143" t="s">
        <v>322</v>
      </c>
      <c r="O13" s="41"/>
      <c r="P13" s="77"/>
      <c r="Q13" s="77"/>
      <c r="R13" s="78"/>
    </row>
    <row r="14" spans="1:18" x14ac:dyDescent="0.25">
      <c r="A14" s="49" t="s">
        <v>122</v>
      </c>
      <c r="B14" s="145">
        <v>1400</v>
      </c>
      <c r="C14" s="64" t="s">
        <v>188</v>
      </c>
      <c r="D14" s="91"/>
      <c r="E14" s="53"/>
      <c r="F14" s="249">
        <v>0.15</v>
      </c>
      <c r="G14" s="53" t="s">
        <v>321</v>
      </c>
      <c r="H14" s="73">
        <v>75</v>
      </c>
      <c r="I14" s="50" t="s">
        <v>57</v>
      </c>
      <c r="J14" s="73" t="s">
        <v>318</v>
      </c>
      <c r="K14" s="152">
        <v>2019</v>
      </c>
      <c r="L14" s="50"/>
      <c r="M14" s="51" t="s">
        <v>317</v>
      </c>
      <c r="N14" s="81" t="s">
        <v>320</v>
      </c>
      <c r="O14" s="41"/>
    </row>
    <row r="15" spans="1:18" x14ac:dyDescent="0.25">
      <c r="A15" s="49"/>
      <c r="B15" s="145"/>
      <c r="C15" s="64"/>
      <c r="D15" s="91"/>
      <c r="E15" s="53"/>
      <c r="F15" s="91"/>
      <c r="G15" s="53"/>
      <c r="H15" s="50"/>
      <c r="I15" s="50"/>
      <c r="J15" s="50"/>
      <c r="K15" s="152"/>
      <c r="L15" s="50"/>
      <c r="M15" s="51"/>
      <c r="N15" s="143"/>
      <c r="O15" s="41"/>
      <c r="P15" s="77"/>
      <c r="Q15" s="77"/>
      <c r="R15" s="78"/>
    </row>
    <row r="16" spans="1:18" x14ac:dyDescent="0.25">
      <c r="A16" s="24" t="s">
        <v>325</v>
      </c>
      <c r="B16" s="123"/>
      <c r="C16" s="20"/>
      <c r="D16" s="122"/>
      <c r="E16" s="20"/>
      <c r="F16" s="122"/>
      <c r="G16" s="20"/>
      <c r="H16" s="123"/>
      <c r="I16" s="20"/>
      <c r="J16" s="20"/>
      <c r="K16" s="20"/>
      <c r="L16" s="20"/>
      <c r="M16" s="260"/>
      <c r="N16" s="261"/>
    </row>
    <row r="17" spans="1:18" x14ac:dyDescent="0.25">
      <c r="A17" s="49"/>
      <c r="B17" s="73">
        <v>3458</v>
      </c>
      <c r="C17" s="50" t="s">
        <v>188</v>
      </c>
      <c r="D17" s="73"/>
      <c r="E17" s="50"/>
      <c r="F17" s="73"/>
      <c r="G17" s="50"/>
      <c r="H17" s="50"/>
      <c r="I17" s="50"/>
      <c r="J17" s="164" t="s">
        <v>327</v>
      </c>
      <c r="K17" s="152">
        <v>2019</v>
      </c>
      <c r="L17" s="50"/>
      <c r="M17" s="51" t="s">
        <v>324</v>
      </c>
      <c r="N17" s="52"/>
      <c r="P17" s="77"/>
      <c r="Q17" s="77"/>
      <c r="R17" s="78"/>
    </row>
    <row r="18" spans="1:18" x14ac:dyDescent="0.25">
      <c r="A18" s="49"/>
      <c r="B18" s="73">
        <v>1800</v>
      </c>
      <c r="C18" s="50" t="s">
        <v>188</v>
      </c>
      <c r="D18" s="73"/>
      <c r="E18" s="50"/>
      <c r="F18" s="73"/>
      <c r="G18" s="50"/>
      <c r="H18" s="50"/>
      <c r="I18" s="50"/>
      <c r="J18" s="164" t="s">
        <v>327</v>
      </c>
      <c r="K18" s="152">
        <v>2025</v>
      </c>
      <c r="L18" s="50"/>
      <c r="M18" s="51" t="s">
        <v>155</v>
      </c>
      <c r="N18" s="69" t="s">
        <v>326</v>
      </c>
      <c r="P18" s="77"/>
      <c r="Q18" s="77"/>
      <c r="R18" s="78"/>
    </row>
    <row r="19" spans="1:18" x14ac:dyDescent="0.25">
      <c r="A19" s="49"/>
      <c r="B19" s="73"/>
      <c r="C19" s="50"/>
      <c r="D19" s="79"/>
      <c r="E19" s="50"/>
      <c r="F19" s="75">
        <f>70*USDEUR/B17*100</f>
        <v>1.8218623481781375</v>
      </c>
      <c r="G19" s="50" t="s">
        <v>284</v>
      </c>
      <c r="H19" s="50"/>
      <c r="I19" s="50"/>
      <c r="J19" s="164" t="s">
        <v>327</v>
      </c>
      <c r="K19" s="152">
        <v>2019</v>
      </c>
      <c r="L19" s="50"/>
      <c r="M19" s="51" t="s">
        <v>324</v>
      </c>
      <c r="N19" s="52"/>
      <c r="P19" s="78"/>
      <c r="Q19" s="78"/>
      <c r="R19" s="77"/>
    </row>
    <row r="20" spans="1:18" x14ac:dyDescent="0.25">
      <c r="A20" s="49"/>
      <c r="B20" s="73"/>
      <c r="C20" s="50"/>
      <c r="D20" s="79"/>
      <c r="E20" s="50"/>
      <c r="F20" s="75">
        <f>129*USDEUR/B17*100</f>
        <v>3.3574320416425683</v>
      </c>
      <c r="G20" s="50" t="s">
        <v>284</v>
      </c>
      <c r="H20" s="50"/>
      <c r="I20" s="50"/>
      <c r="J20" s="164" t="s">
        <v>327</v>
      </c>
      <c r="K20" s="152">
        <v>2019</v>
      </c>
      <c r="L20" s="50"/>
      <c r="M20" s="51" t="s">
        <v>324</v>
      </c>
      <c r="N20" s="52"/>
      <c r="P20" s="78"/>
      <c r="Q20" s="78"/>
      <c r="R20" s="77"/>
    </row>
    <row r="21" spans="1:18" x14ac:dyDescent="0.25">
      <c r="A21" s="49"/>
      <c r="B21" s="73"/>
      <c r="C21" s="50"/>
      <c r="D21" s="79"/>
      <c r="E21" s="50"/>
      <c r="F21" s="73">
        <v>3.2</v>
      </c>
      <c r="G21" s="50" t="s">
        <v>284</v>
      </c>
      <c r="H21" s="50"/>
      <c r="I21" s="50"/>
      <c r="J21" s="164" t="s">
        <v>327</v>
      </c>
      <c r="K21" s="152">
        <v>2025</v>
      </c>
      <c r="L21" s="50"/>
      <c r="M21" s="51" t="s">
        <v>155</v>
      </c>
      <c r="N21" s="52"/>
      <c r="P21" s="77"/>
      <c r="Q21" s="77"/>
      <c r="R21" s="77"/>
    </row>
    <row r="22" spans="1:18" x14ac:dyDescent="0.25">
      <c r="A22" s="49"/>
      <c r="B22" s="73"/>
      <c r="C22" s="50"/>
      <c r="D22" s="79"/>
      <c r="E22" s="50"/>
      <c r="F22" s="73"/>
      <c r="G22" s="50"/>
      <c r="H22" s="50"/>
      <c r="I22" s="50"/>
      <c r="J22" s="50"/>
      <c r="K22" s="152"/>
      <c r="L22" s="50"/>
      <c r="M22" s="51"/>
      <c r="N22" s="52"/>
      <c r="P22" s="77"/>
      <c r="Q22" s="77"/>
      <c r="R22" s="77"/>
    </row>
    <row r="23" spans="1:18" x14ac:dyDescent="0.25">
      <c r="A23" s="24" t="s">
        <v>328</v>
      </c>
      <c r="B23" s="123"/>
      <c r="C23" s="20"/>
      <c r="D23" s="122"/>
      <c r="E23" s="20"/>
      <c r="F23" s="122"/>
      <c r="G23" s="20"/>
      <c r="H23" s="123"/>
      <c r="I23" s="20"/>
      <c r="J23" s="20"/>
      <c r="K23" s="20"/>
      <c r="L23" s="20"/>
      <c r="M23" s="260"/>
      <c r="N23" s="261"/>
    </row>
    <row r="24" spans="1:18" x14ac:dyDescent="0.25">
      <c r="A24" s="49"/>
      <c r="B24" s="73">
        <f>1055*USDEUR</f>
        <v>949.5</v>
      </c>
      <c r="C24" s="50" t="s">
        <v>188</v>
      </c>
      <c r="D24" s="79"/>
      <c r="E24" s="50"/>
      <c r="F24" s="75">
        <f>33*USDEUR/B24*100</f>
        <v>3.1279620853080567</v>
      </c>
      <c r="G24" s="50" t="s">
        <v>284</v>
      </c>
      <c r="H24" s="50"/>
      <c r="I24" s="50"/>
      <c r="J24" s="262" t="s">
        <v>327</v>
      </c>
      <c r="K24" s="152">
        <v>2019</v>
      </c>
      <c r="L24" s="50"/>
      <c r="M24" s="51" t="s">
        <v>324</v>
      </c>
      <c r="N24" s="52"/>
      <c r="P24" s="77"/>
      <c r="Q24" s="77"/>
      <c r="R24" s="77"/>
    </row>
    <row r="25" spans="1:18" x14ac:dyDescent="0.25">
      <c r="A25" s="49"/>
      <c r="B25" s="73">
        <f>1473*USDEUR</f>
        <v>1325.7</v>
      </c>
      <c r="C25" s="50" t="s">
        <v>188</v>
      </c>
      <c r="D25" s="73"/>
      <c r="E25" s="50"/>
      <c r="F25" s="75"/>
      <c r="G25" s="50"/>
      <c r="H25" s="50"/>
      <c r="I25" s="50"/>
      <c r="J25" s="262" t="s">
        <v>327</v>
      </c>
      <c r="K25" s="152">
        <v>2019</v>
      </c>
      <c r="L25" s="50"/>
      <c r="M25" s="51" t="s">
        <v>324</v>
      </c>
      <c r="N25" s="52"/>
    </row>
    <row r="26" spans="1:18" x14ac:dyDescent="0.25">
      <c r="A26" s="49"/>
      <c r="B26" s="73">
        <f>2368*USDEUR</f>
        <v>2131.2000000000003</v>
      </c>
      <c r="C26" s="50" t="s">
        <v>188</v>
      </c>
      <c r="D26" s="79"/>
      <c r="E26" s="50"/>
      <c r="F26" s="75">
        <f>56*USDEUR/B26*100</f>
        <v>2.3648648648648645</v>
      </c>
      <c r="G26" s="50" t="s">
        <v>284</v>
      </c>
      <c r="H26" s="50"/>
      <c r="I26" s="50"/>
      <c r="J26" s="262" t="s">
        <v>327</v>
      </c>
      <c r="K26" s="152">
        <v>2019</v>
      </c>
      <c r="L26" s="50"/>
      <c r="M26" s="51" t="s">
        <v>324</v>
      </c>
      <c r="N26" s="52"/>
      <c r="P26" s="77"/>
      <c r="Q26" s="77"/>
      <c r="R26" s="77"/>
    </row>
    <row r="27" spans="1:18" x14ac:dyDescent="0.25">
      <c r="A27" s="49"/>
      <c r="B27" s="73"/>
      <c r="C27" s="50"/>
      <c r="D27" s="73"/>
      <c r="E27" s="50"/>
      <c r="F27" s="73"/>
      <c r="G27" s="50"/>
      <c r="H27" s="50"/>
      <c r="I27" s="50"/>
      <c r="J27" s="50"/>
      <c r="K27" s="152"/>
      <c r="L27" s="50"/>
      <c r="M27" s="51"/>
      <c r="N27" s="52"/>
    </row>
    <row r="28" spans="1:18" x14ac:dyDescent="0.25">
      <c r="A28" s="49"/>
      <c r="B28" s="73"/>
      <c r="C28" s="50"/>
      <c r="D28" s="79"/>
      <c r="E28" s="50"/>
      <c r="F28" s="73"/>
      <c r="G28" s="50"/>
      <c r="H28" s="50"/>
      <c r="I28" s="50"/>
      <c r="J28" s="50"/>
      <c r="K28" s="152"/>
      <c r="L28" s="50"/>
      <c r="M28" s="51"/>
      <c r="N28" s="52"/>
      <c r="P28" s="77"/>
      <c r="Q28" s="77"/>
      <c r="R28" s="77"/>
    </row>
    <row r="29" spans="1:18" x14ac:dyDescent="0.25">
      <c r="A29" s="24" t="s">
        <v>329</v>
      </c>
      <c r="B29" s="123"/>
      <c r="C29" s="20"/>
      <c r="D29" s="122"/>
      <c r="E29" s="20"/>
      <c r="F29" s="122"/>
      <c r="G29" s="20"/>
      <c r="H29" s="123"/>
      <c r="I29" s="20"/>
      <c r="J29" s="20"/>
      <c r="K29" s="20"/>
      <c r="L29" s="20"/>
      <c r="M29" s="260"/>
      <c r="N29" s="261"/>
    </row>
    <row r="30" spans="1:18" x14ac:dyDescent="0.25">
      <c r="A30" s="49"/>
      <c r="B30" s="73">
        <f>714*USDEUR</f>
        <v>642.6</v>
      </c>
      <c r="C30" s="50" t="s">
        <v>188</v>
      </c>
      <c r="D30" s="79"/>
      <c r="E30" s="50"/>
      <c r="F30" s="75">
        <f>9*USDEUR/B30*100</f>
        <v>1.2605042016806722</v>
      </c>
      <c r="G30" s="50" t="s">
        <v>284</v>
      </c>
      <c r="H30" s="50"/>
      <c r="I30" s="50"/>
      <c r="J30" s="262" t="s">
        <v>327</v>
      </c>
      <c r="K30" s="152">
        <v>2019</v>
      </c>
      <c r="L30" s="50"/>
      <c r="M30" s="51" t="s">
        <v>324</v>
      </c>
      <c r="N30" s="52"/>
      <c r="P30" s="77"/>
      <c r="Q30" s="77"/>
      <c r="R30" s="77"/>
    </row>
    <row r="31" spans="1:18" x14ac:dyDescent="0.25">
      <c r="A31" s="49"/>
      <c r="B31" s="73">
        <f>995*USDEUR</f>
        <v>895.5</v>
      </c>
      <c r="C31" s="50" t="s">
        <v>188</v>
      </c>
      <c r="D31" s="73"/>
      <c r="E31" s="50"/>
      <c r="F31" s="75">
        <f>10*USDEUR/B31*100</f>
        <v>1.0050251256281406</v>
      </c>
      <c r="G31" s="50" t="s">
        <v>284</v>
      </c>
      <c r="H31" s="50"/>
      <c r="I31" s="50"/>
      <c r="J31" s="262" t="s">
        <v>327</v>
      </c>
      <c r="K31" s="152">
        <v>2019</v>
      </c>
      <c r="L31" s="50"/>
      <c r="M31" s="51" t="s">
        <v>324</v>
      </c>
      <c r="N31" s="52"/>
    </row>
    <row r="32" spans="1:18" x14ac:dyDescent="0.25">
      <c r="A32" s="49"/>
      <c r="B32" s="73">
        <f>2320*USDEUR</f>
        <v>2088</v>
      </c>
      <c r="C32" s="50" t="s">
        <v>188</v>
      </c>
      <c r="D32" s="79"/>
      <c r="E32" s="50"/>
      <c r="F32" s="75"/>
      <c r="G32" s="50"/>
      <c r="H32" s="50"/>
      <c r="I32" s="50"/>
      <c r="J32" s="262" t="s">
        <v>327</v>
      </c>
      <c r="K32" s="152">
        <v>2019</v>
      </c>
      <c r="L32" s="50"/>
      <c r="M32" s="51" t="s">
        <v>324</v>
      </c>
      <c r="N32" s="52"/>
      <c r="P32" s="77"/>
      <c r="Q32" s="77"/>
      <c r="R32" s="77"/>
    </row>
    <row r="33" spans="1:14" x14ac:dyDescent="0.25">
      <c r="A33" s="49"/>
      <c r="B33" s="73"/>
      <c r="C33" s="50"/>
      <c r="D33" s="73"/>
      <c r="E33" s="50"/>
      <c r="F33" s="73"/>
      <c r="G33" s="50"/>
      <c r="H33" s="50"/>
      <c r="I33" s="50"/>
      <c r="J33" s="50"/>
      <c r="K33" s="152"/>
      <c r="L33" s="50"/>
      <c r="M33" s="51"/>
      <c r="N33" s="52"/>
    </row>
  </sheetData>
  <dataConsolidate/>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083A-934F-4721-85F9-E0FCFF1CFA7F}">
  <dimension ref="A3:V30"/>
  <sheetViews>
    <sheetView showGridLines="0" zoomScale="85" zoomScaleNormal="85" workbookViewId="0">
      <pane ySplit="4" topLeftCell="A5" activePane="bottomLeft" state="frozen"/>
      <selection pane="bottomLeft"/>
    </sheetView>
  </sheetViews>
  <sheetFormatPr defaultColWidth="0" defaultRowHeight="15" x14ac:dyDescent="0.25"/>
  <cols>
    <col min="1" max="1" width="63.140625" customWidth="1"/>
    <col min="2" max="2" width="11.5703125" bestFit="1" customWidth="1"/>
    <col min="3" max="3" width="12.85546875" bestFit="1" customWidth="1"/>
    <col min="4" max="4" width="20.28515625" style="148" customWidth="1"/>
    <col min="5" max="5" width="15.28515625" customWidth="1"/>
    <col min="6" max="6" width="15.28515625" style="148" customWidth="1"/>
    <col min="7" max="7" width="15.28515625" customWidth="1"/>
    <col min="8" max="8" width="11.42578125" customWidth="1"/>
    <col min="9" max="11" width="9.140625" customWidth="1"/>
    <col min="12" max="12" width="21.5703125" customWidth="1"/>
    <col min="13" max="13" width="23.140625" customWidth="1"/>
    <col min="14" max="14" width="63.5703125" style="241" customWidth="1"/>
    <col min="15" max="15" width="10.5703125" bestFit="1" customWidth="1"/>
    <col min="16" max="17" width="9.140625" customWidth="1"/>
    <col min="18" max="18" width="11" hidden="1" customWidth="1"/>
    <col min="19" max="21" width="9.140625" hidden="1" customWidth="1"/>
    <col min="22" max="22" width="10" hidden="1" customWidth="1"/>
    <col min="23" max="16384" width="9.140625" hidden="1"/>
  </cols>
  <sheetData>
    <row r="3" spans="1:18" x14ac:dyDescent="0.25">
      <c r="A3" s="8"/>
    </row>
    <row r="4" spans="1:18" ht="30.75" thickBot="1" x14ac:dyDescent="0.3">
      <c r="A4" s="6" t="s">
        <v>23</v>
      </c>
      <c r="B4" s="173" t="s">
        <v>25</v>
      </c>
      <c r="C4" s="4" t="s">
        <v>31</v>
      </c>
      <c r="D4" s="173" t="s">
        <v>108</v>
      </c>
      <c r="E4" s="4" t="s">
        <v>31</v>
      </c>
      <c r="F4" s="173" t="s">
        <v>109</v>
      </c>
      <c r="G4" s="4" t="s">
        <v>31</v>
      </c>
      <c r="H4" s="322" t="s">
        <v>403</v>
      </c>
      <c r="I4" s="4" t="s">
        <v>31</v>
      </c>
      <c r="J4" s="2" t="s">
        <v>29</v>
      </c>
      <c r="K4" s="4" t="s">
        <v>32</v>
      </c>
      <c r="L4" s="2" t="s">
        <v>30</v>
      </c>
      <c r="M4" s="3" t="s">
        <v>27</v>
      </c>
      <c r="N4" s="242" t="s">
        <v>26</v>
      </c>
    </row>
    <row r="5" spans="1:18" x14ac:dyDescent="0.25">
      <c r="A5" s="16" t="s">
        <v>2</v>
      </c>
      <c r="B5" s="108"/>
      <c r="C5" s="17"/>
      <c r="D5" s="107"/>
      <c r="E5" s="17"/>
      <c r="F5" s="107"/>
      <c r="G5" s="17"/>
      <c r="H5" s="108"/>
      <c r="I5" s="17"/>
      <c r="J5" s="17"/>
      <c r="K5" s="17"/>
      <c r="L5" s="17"/>
      <c r="M5" s="18" t="s">
        <v>28</v>
      </c>
      <c r="N5" s="19" t="s">
        <v>42</v>
      </c>
    </row>
    <row r="6" spans="1:18" s="140" customFormat="1" ht="15" customHeight="1" x14ac:dyDescent="0.25">
      <c r="A6" s="133" t="s">
        <v>54</v>
      </c>
      <c r="B6" s="134">
        <f>900*USDEUR</f>
        <v>810</v>
      </c>
      <c r="C6" s="135" t="s">
        <v>213</v>
      </c>
      <c r="D6" s="181"/>
      <c r="E6" s="136"/>
      <c r="F6" s="181"/>
      <c r="G6" s="136"/>
      <c r="H6" s="136"/>
      <c r="I6" s="136"/>
      <c r="J6" s="136"/>
      <c r="K6" s="150">
        <v>2019</v>
      </c>
      <c r="L6" s="136"/>
      <c r="M6" s="137" t="s">
        <v>113</v>
      </c>
      <c r="N6" s="138" t="s">
        <v>67</v>
      </c>
      <c r="O6" s="139"/>
    </row>
    <row r="7" spans="1:18" s="140" customFormat="1" ht="45" x14ac:dyDescent="0.25">
      <c r="A7" s="64" t="s">
        <v>55</v>
      </c>
      <c r="B7" s="80">
        <f>1500*USDEUR</f>
        <v>1350</v>
      </c>
      <c r="C7" s="64" t="s">
        <v>213</v>
      </c>
      <c r="D7" s="182"/>
      <c r="E7" s="141"/>
      <c r="F7" s="182"/>
      <c r="G7" s="141"/>
      <c r="H7" s="141"/>
      <c r="I7" s="141"/>
      <c r="J7" s="141"/>
      <c r="K7" s="151">
        <v>2019</v>
      </c>
      <c r="L7" s="141"/>
      <c r="M7" s="142" t="s">
        <v>66</v>
      </c>
      <c r="N7" s="143" t="s">
        <v>68</v>
      </c>
    </row>
    <row r="8" spans="1:18" s="140" customFormat="1" ht="60" x14ac:dyDescent="0.25">
      <c r="A8" s="64" t="s">
        <v>56</v>
      </c>
      <c r="B8" s="80">
        <f>2000*USDEUR</f>
        <v>1800</v>
      </c>
      <c r="C8" s="64" t="s">
        <v>213</v>
      </c>
      <c r="D8" s="182"/>
      <c r="E8" s="141"/>
      <c r="F8" s="182"/>
      <c r="G8" s="141"/>
      <c r="H8" s="141"/>
      <c r="I8" s="141"/>
      <c r="J8" s="141"/>
      <c r="K8" s="151">
        <v>2019</v>
      </c>
      <c r="L8" s="141"/>
      <c r="M8" s="144" t="s">
        <v>113</v>
      </c>
      <c r="N8" s="143" t="s">
        <v>69</v>
      </c>
    </row>
    <row r="9" spans="1:18" x14ac:dyDescent="0.25">
      <c r="A9" s="49"/>
      <c r="B9" s="145">
        <f>14050000000*NOKEUR/(1000000*'Conversion factors'!F14/24)</f>
        <v>1012.6126126126128</v>
      </c>
      <c r="C9" s="64" t="s">
        <v>213</v>
      </c>
      <c r="D9" s="91"/>
      <c r="E9" s="53"/>
      <c r="F9" s="91">
        <v>2.5</v>
      </c>
      <c r="G9" s="53" t="s">
        <v>284</v>
      </c>
      <c r="H9" s="50"/>
      <c r="I9" s="50"/>
      <c r="J9" s="50"/>
      <c r="K9" s="152">
        <v>2025</v>
      </c>
      <c r="L9" s="50"/>
      <c r="M9" s="51" t="s">
        <v>65</v>
      </c>
      <c r="N9" s="81" t="s">
        <v>233</v>
      </c>
      <c r="O9" s="41"/>
      <c r="P9" s="77"/>
      <c r="Q9" s="77"/>
      <c r="R9" s="78"/>
    </row>
    <row r="10" spans="1:18" x14ac:dyDescent="0.25">
      <c r="A10" s="49"/>
      <c r="B10" s="145">
        <f>250000000*NOKEUR/(11000*'Conversion factors'!F14/24)</f>
        <v>1638.0016380016382</v>
      </c>
      <c r="C10" s="64" t="s">
        <v>213</v>
      </c>
      <c r="D10" s="91"/>
      <c r="E10" s="53"/>
      <c r="F10" s="91">
        <v>2.5</v>
      </c>
      <c r="G10" s="53" t="s">
        <v>284</v>
      </c>
      <c r="H10" s="50"/>
      <c r="I10" s="50"/>
      <c r="J10" s="50"/>
      <c r="K10" s="152">
        <v>2025</v>
      </c>
      <c r="L10" s="50"/>
      <c r="M10" s="51" t="s">
        <v>65</v>
      </c>
      <c r="N10" s="81" t="s">
        <v>234</v>
      </c>
      <c r="O10" s="41"/>
    </row>
    <row r="11" spans="1:18" x14ac:dyDescent="0.25">
      <c r="A11" s="49"/>
      <c r="B11" s="145">
        <f>500000000*USDEUR/(200000*'Conversion factors'!F14/24)</f>
        <v>1621.6216216216219</v>
      </c>
      <c r="C11" s="64" t="s">
        <v>213</v>
      </c>
      <c r="D11" s="73"/>
      <c r="E11" s="50"/>
      <c r="F11" s="73"/>
      <c r="G11" s="50"/>
      <c r="H11" s="50"/>
      <c r="I11" s="50"/>
      <c r="J11" s="50"/>
      <c r="K11" s="152">
        <v>2019</v>
      </c>
      <c r="L11" s="50"/>
      <c r="M11" s="51" t="s">
        <v>115</v>
      </c>
      <c r="N11" s="81" t="s">
        <v>235</v>
      </c>
    </row>
    <row r="12" spans="1:18" x14ac:dyDescent="0.25">
      <c r="A12" s="49"/>
      <c r="B12" s="145">
        <f>150000000*USDEUR/(50000*'Conversion factors'!F14/24)</f>
        <v>1945.9459459459463</v>
      </c>
      <c r="C12" s="64" t="s">
        <v>213</v>
      </c>
      <c r="D12" s="73"/>
      <c r="E12" s="50"/>
      <c r="F12" s="73"/>
      <c r="G12" s="50"/>
      <c r="H12" s="50"/>
      <c r="I12" s="50"/>
      <c r="J12" s="50"/>
      <c r="K12" s="152">
        <v>2007</v>
      </c>
      <c r="L12" s="50"/>
      <c r="M12" s="51" t="s">
        <v>116</v>
      </c>
      <c r="N12" s="52" t="s">
        <v>238</v>
      </c>
      <c r="P12" s="78"/>
      <c r="Q12" s="78"/>
      <c r="R12" s="77"/>
    </row>
    <row r="13" spans="1:18" x14ac:dyDescent="0.25">
      <c r="A13" s="49"/>
      <c r="B13" s="145">
        <f>100000000*USDEUR/(50000*'Conversion factors'!F14/24)</f>
        <v>1297.2972972972975</v>
      </c>
      <c r="C13" s="64" t="s">
        <v>213</v>
      </c>
      <c r="D13" s="73"/>
      <c r="E13" s="50"/>
      <c r="F13" s="73"/>
      <c r="G13" s="50"/>
      <c r="H13" s="50"/>
      <c r="I13" s="50"/>
      <c r="J13" s="50"/>
      <c r="K13" s="152">
        <v>2007</v>
      </c>
      <c r="L13" s="50"/>
      <c r="M13" s="51" t="s">
        <v>116</v>
      </c>
      <c r="N13" s="52" t="s">
        <v>239</v>
      </c>
      <c r="O13" s="41"/>
      <c r="P13" s="78"/>
      <c r="Q13" s="78"/>
      <c r="R13" s="77"/>
    </row>
    <row r="14" spans="1:18" x14ac:dyDescent="0.25">
      <c r="A14" s="49"/>
      <c r="B14" s="145">
        <f>1500000000*GBPEUR/(600000*'Conversion factors'!F14/24)</f>
        <v>2072.0720720720719</v>
      </c>
      <c r="C14" s="64" t="s">
        <v>213</v>
      </c>
      <c r="D14" s="73"/>
      <c r="E14" s="50"/>
      <c r="F14" s="73"/>
      <c r="G14" s="50"/>
      <c r="H14" s="50"/>
      <c r="I14" s="50"/>
      <c r="J14" s="50"/>
      <c r="K14" s="152"/>
      <c r="L14" s="50"/>
      <c r="M14" s="51" t="s">
        <v>236</v>
      </c>
      <c r="N14" s="52" t="s">
        <v>237</v>
      </c>
      <c r="P14" s="78"/>
      <c r="Q14" s="78"/>
      <c r="R14" s="77"/>
    </row>
    <row r="15" spans="1:18" s="140" customFormat="1" x14ac:dyDescent="0.25">
      <c r="A15" s="64"/>
      <c r="B15" s="80"/>
      <c r="C15" s="64"/>
      <c r="D15" s="182"/>
      <c r="E15" s="141"/>
      <c r="F15" s="182"/>
      <c r="G15" s="141"/>
      <c r="H15" s="141">
        <v>0</v>
      </c>
      <c r="I15" s="141" t="s">
        <v>404</v>
      </c>
      <c r="J15" s="141"/>
      <c r="K15" s="151"/>
      <c r="L15" s="141"/>
      <c r="M15" s="144" t="s">
        <v>155</v>
      </c>
      <c r="N15" s="143" t="s">
        <v>246</v>
      </c>
    </row>
    <row r="16" spans="1:18" ht="45" x14ac:dyDescent="0.25">
      <c r="A16" s="49"/>
      <c r="B16" s="73"/>
      <c r="C16" s="64"/>
      <c r="D16" s="129"/>
      <c r="E16" s="58"/>
      <c r="F16" s="149">
        <v>4</v>
      </c>
      <c r="G16" s="70" t="s">
        <v>284</v>
      </c>
      <c r="H16" s="130"/>
      <c r="I16" s="130"/>
      <c r="J16" s="130"/>
      <c r="K16" s="152">
        <v>2019</v>
      </c>
      <c r="L16" s="58"/>
      <c r="M16" s="142" t="s">
        <v>66</v>
      </c>
      <c r="N16" s="143" t="s">
        <v>247</v>
      </c>
    </row>
    <row r="17" spans="1:18" x14ac:dyDescent="0.25">
      <c r="A17" s="49"/>
      <c r="B17" s="73"/>
      <c r="C17" s="50"/>
      <c r="D17" s="73"/>
      <c r="E17" s="50"/>
      <c r="F17" s="73"/>
      <c r="G17" s="50"/>
      <c r="H17" s="50"/>
      <c r="I17" s="50"/>
      <c r="J17" s="164" t="s">
        <v>260</v>
      </c>
      <c r="K17" s="152">
        <v>2019</v>
      </c>
      <c r="L17" s="50"/>
      <c r="M17" s="63" t="s">
        <v>155</v>
      </c>
      <c r="N17" s="52" t="s">
        <v>259</v>
      </c>
      <c r="P17" s="77"/>
      <c r="Q17" s="77"/>
      <c r="R17" s="78"/>
    </row>
    <row r="18" spans="1:18" x14ac:dyDescent="0.25">
      <c r="A18" s="49" t="s">
        <v>54</v>
      </c>
      <c r="B18" s="73"/>
      <c r="C18" s="50"/>
      <c r="D18" s="79">
        <f>8/'Conversion factors'!F36</f>
        <v>0.24008002667555853</v>
      </c>
      <c r="E18" s="50" t="s">
        <v>270</v>
      </c>
      <c r="F18" s="73"/>
      <c r="G18" s="50"/>
      <c r="H18" s="50"/>
      <c r="I18" s="50"/>
      <c r="J18" s="50"/>
      <c r="K18" s="152">
        <v>2019</v>
      </c>
      <c r="L18" s="50"/>
      <c r="M18" s="51" t="s">
        <v>116</v>
      </c>
      <c r="N18" s="52" t="s">
        <v>230</v>
      </c>
      <c r="P18" s="78"/>
      <c r="Q18" s="78"/>
      <c r="R18" s="77"/>
    </row>
    <row r="19" spans="1:18" x14ac:dyDescent="0.25">
      <c r="A19" s="49" t="s">
        <v>55</v>
      </c>
      <c r="B19" s="73"/>
      <c r="C19" s="50"/>
      <c r="D19" s="79">
        <f>10/'Conversion factors'!F36</f>
        <v>0.30010003334444812</v>
      </c>
      <c r="E19" s="50" t="s">
        <v>270</v>
      </c>
      <c r="F19" s="73"/>
      <c r="G19" s="50"/>
      <c r="H19" s="50"/>
      <c r="I19" s="50"/>
      <c r="J19" s="50"/>
      <c r="K19" s="152"/>
      <c r="L19" s="50"/>
      <c r="M19" s="51"/>
      <c r="N19" s="52" t="s">
        <v>232</v>
      </c>
      <c r="P19" s="78"/>
      <c r="Q19" s="78"/>
      <c r="R19" s="77"/>
    </row>
    <row r="20" spans="1:18" x14ac:dyDescent="0.25">
      <c r="A20" s="49" t="s">
        <v>56</v>
      </c>
      <c r="B20" s="73"/>
      <c r="C20" s="50"/>
      <c r="D20" s="79">
        <f>13/'Conversion factors'!F36</f>
        <v>0.39013004334778256</v>
      </c>
      <c r="E20" s="50" t="s">
        <v>270</v>
      </c>
      <c r="F20" s="73"/>
      <c r="G20" s="50"/>
      <c r="H20" s="50"/>
      <c r="I20" s="50"/>
      <c r="J20" s="50"/>
      <c r="K20" s="152">
        <v>2015</v>
      </c>
      <c r="L20" s="50"/>
      <c r="M20" s="51" t="s">
        <v>117</v>
      </c>
      <c r="N20" s="52" t="s">
        <v>231</v>
      </c>
      <c r="P20" s="77"/>
      <c r="Q20" s="77"/>
      <c r="R20" s="77"/>
    </row>
    <row r="21" spans="1:18" x14ac:dyDescent="0.25">
      <c r="A21" s="49"/>
      <c r="B21" s="73"/>
      <c r="C21" s="50"/>
      <c r="D21" s="79"/>
      <c r="E21" s="50"/>
      <c r="F21" s="73"/>
      <c r="G21" s="50"/>
      <c r="H21" s="50"/>
      <c r="I21" s="50"/>
      <c r="J21" s="50"/>
      <c r="K21" s="152"/>
      <c r="L21" s="50"/>
      <c r="M21" s="51"/>
      <c r="N21" s="52"/>
      <c r="P21" s="77"/>
      <c r="Q21" s="77"/>
      <c r="R21" s="77"/>
    </row>
    <row r="22" spans="1:18" ht="60" x14ac:dyDescent="0.25">
      <c r="A22" s="49"/>
      <c r="B22" s="73"/>
      <c r="C22" s="50"/>
      <c r="D22" s="73"/>
      <c r="E22" s="50"/>
      <c r="F22" s="73"/>
      <c r="G22" s="50"/>
      <c r="H22" s="50"/>
      <c r="I22" s="50"/>
      <c r="J22" s="50"/>
      <c r="K22" s="152"/>
      <c r="L22" s="50" t="s">
        <v>118</v>
      </c>
      <c r="M22" s="51" t="s">
        <v>311</v>
      </c>
      <c r="N22" s="52"/>
    </row>
    <row r="24" spans="1:18" x14ac:dyDescent="0.25">
      <c r="P24" s="77"/>
      <c r="Q24" s="77"/>
    </row>
    <row r="25" spans="1:18" ht="15" customHeight="1" x14ac:dyDescent="0.25">
      <c r="A25" s="131"/>
      <c r="P25" s="77"/>
      <c r="Q25" s="77"/>
    </row>
    <row r="26" spans="1:18" x14ac:dyDescent="0.25">
      <c r="A26" s="132"/>
      <c r="P26" s="77"/>
      <c r="Q26" s="77"/>
    </row>
    <row r="27" spans="1:18" x14ac:dyDescent="0.25">
      <c r="P27" s="77"/>
      <c r="Q27" s="77"/>
    </row>
    <row r="28" spans="1:18" x14ac:dyDescent="0.25">
      <c r="P28" s="77"/>
      <c r="Q28" s="77"/>
    </row>
    <row r="29" spans="1:18" x14ac:dyDescent="0.25">
      <c r="P29" s="77"/>
      <c r="Q29" s="77"/>
    </row>
    <row r="30" spans="1:18" x14ac:dyDescent="0.25">
      <c r="D30" s="183"/>
    </row>
  </sheetData>
  <dataConsolidate/>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1C4F0-7FE9-4650-BD44-FBCA7499E42E}">
  <dimension ref="A3:Q19"/>
  <sheetViews>
    <sheetView showGridLines="0" zoomScale="85" zoomScaleNormal="85" workbookViewId="0">
      <pane ySplit="4" topLeftCell="A5" activePane="bottomLeft" state="frozen"/>
      <selection pane="bottomLeft"/>
    </sheetView>
  </sheetViews>
  <sheetFormatPr defaultColWidth="0" defaultRowHeight="15" x14ac:dyDescent="0.25"/>
  <cols>
    <col min="1" max="1" width="63.140625" customWidth="1"/>
    <col min="2" max="2" width="11.5703125" bestFit="1" customWidth="1"/>
    <col min="3" max="3" width="11.42578125" customWidth="1"/>
    <col min="4" max="4" width="20.28515625" style="148" customWidth="1"/>
    <col min="5" max="5" width="15.28515625" customWidth="1"/>
    <col min="6" max="6" width="15.28515625" style="148" customWidth="1"/>
    <col min="7" max="7" width="15.28515625" customWidth="1"/>
    <col min="8" max="8" width="11.42578125" customWidth="1"/>
    <col min="9" max="11" width="9.140625" customWidth="1"/>
    <col min="12" max="12" width="21.5703125" customWidth="1"/>
    <col min="13" max="13" width="14" customWidth="1"/>
    <col min="14" max="14" width="63.5703125" style="241" customWidth="1"/>
    <col min="15" max="17" width="9.140625" customWidth="1"/>
    <col min="18" max="16384" width="9.140625" hidden="1"/>
  </cols>
  <sheetData>
    <row r="3" spans="1:14" x14ac:dyDescent="0.25">
      <c r="A3" s="8"/>
    </row>
    <row r="4" spans="1:14" ht="30.75" thickBot="1" x14ac:dyDescent="0.3">
      <c r="A4" s="6" t="s">
        <v>23</v>
      </c>
      <c r="B4" s="2" t="s">
        <v>25</v>
      </c>
      <c r="C4" s="4" t="s">
        <v>31</v>
      </c>
      <c r="D4" s="173" t="s">
        <v>108</v>
      </c>
      <c r="E4" s="4" t="s">
        <v>31</v>
      </c>
      <c r="F4" s="173" t="s">
        <v>109</v>
      </c>
      <c r="G4" s="4" t="s">
        <v>31</v>
      </c>
      <c r="H4" s="322" t="s">
        <v>403</v>
      </c>
      <c r="I4" s="4" t="s">
        <v>31</v>
      </c>
      <c r="J4" s="2" t="s">
        <v>29</v>
      </c>
      <c r="K4" s="4" t="s">
        <v>32</v>
      </c>
      <c r="L4" s="2" t="s">
        <v>30</v>
      </c>
      <c r="M4" s="3" t="s">
        <v>27</v>
      </c>
      <c r="N4" s="242" t="s">
        <v>26</v>
      </c>
    </row>
    <row r="5" spans="1:14" x14ac:dyDescent="0.25">
      <c r="A5" s="16" t="s">
        <v>4</v>
      </c>
      <c r="B5" s="17"/>
      <c r="C5" s="17"/>
      <c r="D5" s="174"/>
      <c r="E5" s="17"/>
      <c r="F5" s="174"/>
      <c r="G5" s="17"/>
      <c r="H5" s="17"/>
      <c r="I5" s="17"/>
      <c r="J5" s="17"/>
      <c r="K5" s="17"/>
      <c r="L5" s="17"/>
      <c r="M5" s="18" t="s">
        <v>28</v>
      </c>
      <c r="N5" s="19" t="s">
        <v>42</v>
      </c>
    </row>
    <row r="6" spans="1:14" x14ac:dyDescent="0.25">
      <c r="A6" s="15" t="s">
        <v>54</v>
      </c>
      <c r="B6" s="14"/>
      <c r="C6" s="14"/>
      <c r="D6" s="147">
        <f>0.07/'Conversion factors'!F14</f>
        <v>2.1021021021021026E-3</v>
      </c>
      <c r="E6" s="50" t="s">
        <v>270</v>
      </c>
      <c r="F6" s="105"/>
      <c r="G6" s="82"/>
      <c r="H6" s="14"/>
      <c r="I6" s="14"/>
      <c r="J6" s="14"/>
      <c r="K6" s="14">
        <v>2019</v>
      </c>
      <c r="L6" s="14"/>
      <c r="M6" s="40" t="s">
        <v>65</v>
      </c>
      <c r="N6" s="13" t="s">
        <v>70</v>
      </c>
    </row>
    <row r="7" spans="1:14" x14ac:dyDescent="0.25">
      <c r="A7" s="49" t="s">
        <v>55</v>
      </c>
      <c r="B7" s="50"/>
      <c r="C7" s="50"/>
      <c r="D7" s="146">
        <f>(D6+D8)/2</f>
        <v>3.453453453453454E-3</v>
      </c>
      <c r="E7" s="50" t="s">
        <v>270</v>
      </c>
      <c r="F7" s="73"/>
      <c r="G7" s="50"/>
      <c r="H7" s="50"/>
      <c r="I7" s="50"/>
      <c r="J7" s="50"/>
      <c r="K7" s="50">
        <v>2019</v>
      </c>
      <c r="L7" s="50"/>
      <c r="M7" s="51"/>
      <c r="N7" s="52" t="s">
        <v>71</v>
      </c>
    </row>
    <row r="8" spans="1:14" x14ac:dyDescent="0.25">
      <c r="A8" s="49" t="s">
        <v>56</v>
      </c>
      <c r="B8" s="50"/>
      <c r="C8" s="50"/>
      <c r="D8" s="146">
        <f>0.16/'Conversion factors'!F14</f>
        <v>4.8048048048048055E-3</v>
      </c>
      <c r="E8" s="50" t="s">
        <v>270</v>
      </c>
      <c r="F8" s="73"/>
      <c r="G8" s="50"/>
      <c r="H8" s="50"/>
      <c r="I8" s="50"/>
      <c r="J8" s="50"/>
      <c r="K8" s="50">
        <v>2019</v>
      </c>
      <c r="L8" s="50"/>
      <c r="M8" s="51" t="s">
        <v>65</v>
      </c>
      <c r="N8" s="52" t="s">
        <v>72</v>
      </c>
    </row>
    <row r="9" spans="1:14" x14ac:dyDescent="0.25">
      <c r="A9" s="15" t="s">
        <v>54</v>
      </c>
      <c r="B9" s="76">
        <f>1340000000*NOKEUR/(850000*'Conversion factors'!F14/24)</f>
        <v>113.619501854796</v>
      </c>
      <c r="C9" s="50" t="s">
        <v>213</v>
      </c>
      <c r="D9" s="73"/>
      <c r="E9" s="50"/>
      <c r="F9" s="73"/>
      <c r="G9" s="50"/>
      <c r="H9" s="50"/>
      <c r="I9" s="50"/>
      <c r="J9" s="50"/>
      <c r="K9" s="50">
        <v>2019</v>
      </c>
      <c r="L9" s="50"/>
      <c r="M9" s="51" t="s">
        <v>65</v>
      </c>
      <c r="N9" s="52" t="s">
        <v>248</v>
      </c>
    </row>
    <row r="10" spans="1:14" x14ac:dyDescent="0.25">
      <c r="A10" s="49" t="s">
        <v>55</v>
      </c>
      <c r="B10" s="153">
        <f>(B9+B11)/2</f>
        <v>273.02596714361425</v>
      </c>
      <c r="C10" s="50" t="s">
        <v>213</v>
      </c>
      <c r="D10" s="73"/>
      <c r="E10" s="50"/>
      <c r="F10" s="73"/>
      <c r="G10" s="50"/>
      <c r="H10" s="50"/>
      <c r="I10" s="50"/>
      <c r="J10" s="50"/>
      <c r="K10" s="50"/>
      <c r="L10" s="50"/>
      <c r="M10" s="51"/>
      <c r="N10" s="52" t="s">
        <v>71</v>
      </c>
    </row>
    <row r="11" spans="1:14" x14ac:dyDescent="0.25">
      <c r="A11" s="49" t="s">
        <v>56</v>
      </c>
      <c r="B11" s="76">
        <f>60000000*NOKEUR/(10000*'Conversion factors'!F14/24)</f>
        <v>432.43243243243245</v>
      </c>
      <c r="C11" s="50" t="s">
        <v>213</v>
      </c>
      <c r="D11" s="73"/>
      <c r="E11" s="50"/>
      <c r="F11" s="73"/>
      <c r="G11" s="50"/>
      <c r="H11" s="50"/>
      <c r="I11" s="50"/>
      <c r="J11" s="50"/>
      <c r="K11" s="50">
        <v>2019</v>
      </c>
      <c r="L11" s="50"/>
      <c r="M11" s="51" t="s">
        <v>65</v>
      </c>
      <c r="N11" s="52" t="s">
        <v>249</v>
      </c>
    </row>
    <row r="12" spans="1:14" ht="13.5" customHeight="1" x14ac:dyDescent="0.25">
      <c r="A12" s="15" t="s">
        <v>54</v>
      </c>
      <c r="B12" s="50"/>
      <c r="C12" s="50"/>
      <c r="D12" s="73"/>
      <c r="E12" s="50"/>
      <c r="F12" s="73">
        <v>2.5</v>
      </c>
      <c r="G12" s="50" t="s">
        <v>284</v>
      </c>
      <c r="H12" s="50"/>
      <c r="I12" s="50"/>
      <c r="J12" s="50"/>
      <c r="K12" s="50">
        <v>2019</v>
      </c>
      <c r="L12" s="50"/>
      <c r="M12" s="51" t="s">
        <v>65</v>
      </c>
      <c r="N12" s="52" t="s">
        <v>229</v>
      </c>
    </row>
    <row r="13" spans="1:14" x14ac:dyDescent="0.25">
      <c r="A13" s="49"/>
      <c r="B13" s="50"/>
      <c r="C13" s="50"/>
      <c r="D13" s="146"/>
      <c r="E13" s="50"/>
      <c r="F13" s="109">
        <f>3</f>
        <v>3</v>
      </c>
      <c r="G13" s="50" t="s">
        <v>284</v>
      </c>
      <c r="H13" s="50"/>
      <c r="I13" s="50"/>
      <c r="J13" s="50"/>
      <c r="K13" s="50">
        <v>2017</v>
      </c>
      <c r="L13" s="50"/>
      <c r="M13" s="51" t="s">
        <v>227</v>
      </c>
      <c r="N13" s="52" t="s">
        <v>228</v>
      </c>
    </row>
    <row r="14" spans="1:14" ht="30" x14ac:dyDescent="0.25">
      <c r="A14" s="49"/>
      <c r="B14" s="50"/>
      <c r="C14" s="50"/>
      <c r="D14" s="146"/>
      <c r="E14" s="50"/>
      <c r="F14" s="73"/>
      <c r="G14" s="50"/>
      <c r="H14" s="50">
        <v>0</v>
      </c>
      <c r="I14" s="50" t="s">
        <v>404</v>
      </c>
      <c r="J14" s="50"/>
      <c r="K14" s="50">
        <v>2017</v>
      </c>
      <c r="L14" s="50"/>
      <c r="M14" s="51" t="s">
        <v>227</v>
      </c>
      <c r="N14" s="52" t="s">
        <v>241</v>
      </c>
    </row>
    <row r="15" spans="1:14" ht="30" x14ac:dyDescent="0.25">
      <c r="A15" s="49"/>
      <c r="B15" s="76">
        <f>165000000*GBPEUR/(1220000*'Conversion factors'!F14/24)</f>
        <v>112.09570225963668</v>
      </c>
      <c r="C15" s="50" t="s">
        <v>213</v>
      </c>
      <c r="D15" s="79">
        <v>0.01</v>
      </c>
      <c r="E15" s="50" t="s">
        <v>270</v>
      </c>
      <c r="F15" s="73"/>
      <c r="G15" s="50"/>
      <c r="H15" s="50"/>
      <c r="I15" s="50"/>
      <c r="J15" s="50"/>
      <c r="K15" s="50">
        <v>2016</v>
      </c>
      <c r="L15" s="50"/>
      <c r="M15" s="51" t="s">
        <v>236</v>
      </c>
      <c r="N15" s="52" t="s">
        <v>240</v>
      </c>
    </row>
    <row r="16" spans="1:14" x14ac:dyDescent="0.25">
      <c r="A16" s="49"/>
      <c r="B16" s="50"/>
      <c r="C16" s="50"/>
      <c r="D16" s="146"/>
      <c r="E16" s="50"/>
      <c r="F16" s="79"/>
      <c r="G16" s="50"/>
      <c r="H16" s="50"/>
      <c r="I16" s="164"/>
      <c r="J16" s="164" t="s">
        <v>260</v>
      </c>
      <c r="K16" s="50"/>
      <c r="L16" s="50"/>
      <c r="M16" s="51" t="s">
        <v>155</v>
      </c>
      <c r="N16" s="52" t="s">
        <v>259</v>
      </c>
    </row>
    <row r="17" spans="1:14" x14ac:dyDescent="0.25">
      <c r="A17" s="49"/>
      <c r="B17" s="50"/>
      <c r="C17" s="50"/>
      <c r="D17" s="73"/>
      <c r="E17" s="50"/>
      <c r="F17" s="73"/>
      <c r="G17" s="50"/>
      <c r="H17" s="50"/>
      <c r="I17" s="50"/>
      <c r="J17" s="50"/>
      <c r="K17" s="50"/>
      <c r="L17" s="50"/>
      <c r="M17" s="51"/>
      <c r="N17" s="52"/>
    </row>
    <row r="18" spans="1:14" x14ac:dyDescent="0.25">
      <c r="A18" s="15"/>
      <c r="B18" s="14"/>
      <c r="C18" s="14"/>
      <c r="D18" s="105"/>
      <c r="E18" s="14"/>
      <c r="F18" s="105"/>
      <c r="G18" s="82"/>
      <c r="H18" s="14"/>
      <c r="I18" s="14"/>
      <c r="J18" s="14"/>
      <c r="K18" s="14"/>
      <c r="L18" s="14"/>
      <c r="M18" s="40"/>
      <c r="N18" s="13"/>
    </row>
    <row r="19" spans="1:14" ht="15" customHeight="1" x14ac:dyDescent="0.25"/>
  </sheetData>
  <dataConsolidate/>
  <phoneticPr fontId="4"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6AD8F-1776-4C29-B3DD-E2809102FFEE}">
  <dimension ref="A1:AA98"/>
  <sheetViews>
    <sheetView showGridLines="0" zoomScale="55" zoomScaleNormal="55" workbookViewId="0">
      <pane ySplit="4" topLeftCell="A29" activePane="bottomLeft" state="frozen"/>
      <selection pane="bottomLeft" activeCell="I57" sqref="I57"/>
    </sheetView>
  </sheetViews>
  <sheetFormatPr defaultColWidth="0" defaultRowHeight="15" x14ac:dyDescent="0.25"/>
  <cols>
    <col min="1" max="1" width="63.140625" customWidth="1"/>
    <col min="2" max="2" width="16" bestFit="1" customWidth="1"/>
    <col min="3" max="3" width="22.42578125" bestFit="1" customWidth="1"/>
    <col min="4" max="4" width="13.5703125" style="148" customWidth="1"/>
    <col min="5" max="5" width="17.5703125" bestFit="1" customWidth="1"/>
    <col min="6" max="6" width="14.5703125" style="148" customWidth="1"/>
    <col min="7" max="7" width="17.5703125" bestFit="1" customWidth="1"/>
    <col min="8" max="8" width="11.7109375" style="148" bestFit="1" customWidth="1"/>
    <col min="9" max="9" width="9.140625" customWidth="1"/>
    <col min="10" max="10" width="10.28515625" style="265" bestFit="1" customWidth="1"/>
    <col min="11" max="11" width="9.140625" customWidth="1"/>
    <col min="12" max="12" width="21.5703125" customWidth="1"/>
    <col min="13" max="13" width="14" customWidth="1"/>
    <col min="14" max="14" width="63.5703125" style="241" customWidth="1"/>
    <col min="15" max="15" width="9.140625" customWidth="1"/>
    <col min="16" max="16" width="15" bestFit="1" customWidth="1"/>
    <col min="17" max="17" width="9.140625" customWidth="1"/>
    <col min="18" max="27" width="0" hidden="1" customWidth="1"/>
    <col min="28" max="16384" width="9.140625" hidden="1"/>
  </cols>
  <sheetData>
    <row r="1" spans="1:16" x14ac:dyDescent="0.25">
      <c r="H1" s="183"/>
    </row>
    <row r="2" spans="1:16" x14ac:dyDescent="0.25">
      <c r="H2" s="183"/>
      <c r="J2" s="266"/>
    </row>
    <row r="3" spans="1:16" x14ac:dyDescent="0.25">
      <c r="A3" s="8"/>
    </row>
    <row r="4" spans="1:16" ht="30.75" thickBot="1" x14ac:dyDescent="0.3">
      <c r="A4" s="6" t="s">
        <v>23</v>
      </c>
      <c r="B4" s="2" t="s">
        <v>25</v>
      </c>
      <c r="C4" s="4" t="s">
        <v>31</v>
      </c>
      <c r="D4" s="173" t="s">
        <v>108</v>
      </c>
      <c r="E4" s="4" t="s">
        <v>31</v>
      </c>
      <c r="F4" s="173" t="s">
        <v>109</v>
      </c>
      <c r="G4" s="4" t="s">
        <v>31</v>
      </c>
      <c r="H4" s="322" t="s">
        <v>403</v>
      </c>
      <c r="I4" s="4" t="s">
        <v>31</v>
      </c>
      <c r="J4" s="267" t="s">
        <v>29</v>
      </c>
      <c r="K4" s="4" t="s">
        <v>32</v>
      </c>
      <c r="L4" s="2" t="s">
        <v>30</v>
      </c>
      <c r="M4" s="3" t="s">
        <v>27</v>
      </c>
      <c r="N4" s="242" t="s">
        <v>26</v>
      </c>
    </row>
    <row r="5" spans="1:16" x14ac:dyDescent="0.25">
      <c r="A5" s="16" t="s">
        <v>6</v>
      </c>
      <c r="B5" s="125"/>
      <c r="C5" s="17"/>
      <c r="D5" s="174"/>
      <c r="E5" s="17"/>
      <c r="F5" s="174"/>
      <c r="G5" s="17"/>
      <c r="H5" s="174"/>
      <c r="I5" s="17"/>
      <c r="J5" s="17"/>
      <c r="K5" s="17"/>
      <c r="L5" s="17"/>
      <c r="M5" s="18" t="s">
        <v>28</v>
      </c>
      <c r="N5" s="19" t="s">
        <v>42</v>
      </c>
    </row>
    <row r="6" spans="1:16" x14ac:dyDescent="0.25">
      <c r="A6" s="89" t="s">
        <v>175</v>
      </c>
      <c r="B6" s="110">
        <f>(2571028.6+3085234.3+514205.72)/(166.67*'Conversion factors'!$F$36)*USDEUR</f>
        <v>999.9292342662651</v>
      </c>
      <c r="C6" s="56" t="s">
        <v>213</v>
      </c>
      <c r="D6" s="112"/>
      <c r="E6" s="56"/>
      <c r="F6" s="180">
        <f>(329976.8+513271)*USDEUR/(166.67*'Conversion factors'!$F$36)/B6*100</f>
        <v>13.665863193385789</v>
      </c>
      <c r="G6" s="56" t="s">
        <v>284</v>
      </c>
      <c r="H6" s="112">
        <v>47.5</v>
      </c>
      <c r="I6" s="56" t="s">
        <v>57</v>
      </c>
      <c r="J6" s="56"/>
      <c r="K6" s="56">
        <v>2005</v>
      </c>
      <c r="L6" s="56"/>
      <c r="M6" s="54" t="s">
        <v>176</v>
      </c>
      <c r="N6" s="55" t="s">
        <v>181</v>
      </c>
    </row>
    <row r="7" spans="1:16" x14ac:dyDescent="0.25">
      <c r="A7" s="89" t="s">
        <v>175</v>
      </c>
      <c r="B7" s="110">
        <f>111000000*USDEUR/(203152/24*'Conversion factors'!$F$25)/1000</f>
        <v>3939.6893607833367</v>
      </c>
      <c r="C7" s="56" t="s">
        <v>213</v>
      </c>
      <c r="D7" s="112"/>
      <c r="E7" s="56"/>
      <c r="F7" s="110">
        <f>(3768000)*USDEUR/(203152/24*'Conversion factors'!$F$25)/1000/B7*100</f>
        <v>3.394594594594595</v>
      </c>
      <c r="G7" s="56" t="s">
        <v>284</v>
      </c>
      <c r="H7" s="115">
        <f>1.6/('Conversion factors'!$F$25*1000)*100</f>
        <v>53.41046199678722</v>
      </c>
      <c r="I7" s="56" t="s">
        <v>57</v>
      </c>
      <c r="J7" s="56"/>
      <c r="K7" s="56">
        <v>2019</v>
      </c>
      <c r="L7" s="56"/>
      <c r="M7" s="54" t="s">
        <v>177</v>
      </c>
      <c r="N7" s="55" t="s">
        <v>180</v>
      </c>
    </row>
    <row r="8" spans="1:16" x14ac:dyDescent="0.25">
      <c r="A8" s="89" t="s">
        <v>175</v>
      </c>
      <c r="B8" s="110">
        <f>80000000*USDEUR/(203152/24*'Conversion factors'!$F$25)/1000</f>
        <v>2839.415755519522</v>
      </c>
      <c r="C8" s="56" t="s">
        <v>213</v>
      </c>
      <c r="D8" s="112"/>
      <c r="E8" s="56"/>
      <c r="F8" s="110">
        <f>(3768000)*USDEUR/(203152/24*'Conversion factors'!$F$25)/1000/B8*100</f>
        <v>4.7100000000000009</v>
      </c>
      <c r="G8" s="56" t="s">
        <v>284</v>
      </c>
      <c r="H8" s="115">
        <f>1.6/('Conversion factors'!$F$25*1000)*100</f>
        <v>53.41046199678722</v>
      </c>
      <c r="I8" s="56" t="s">
        <v>57</v>
      </c>
      <c r="J8" s="56"/>
      <c r="K8" s="56">
        <v>2019</v>
      </c>
      <c r="L8" s="56"/>
      <c r="M8" s="54" t="s">
        <v>177</v>
      </c>
      <c r="N8" s="55" t="s">
        <v>180</v>
      </c>
    </row>
    <row r="9" spans="1:16" ht="30" x14ac:dyDescent="0.25">
      <c r="A9" s="89" t="s">
        <v>261</v>
      </c>
      <c r="B9" s="110">
        <f>3331/'Conversion factors'!$F$36</f>
        <v>99.963321107035682</v>
      </c>
      <c r="C9" s="56" t="s">
        <v>213</v>
      </c>
      <c r="D9" s="185">
        <f>11.1/'Conversion factors'!$F$36</f>
        <v>0.33311103701233741</v>
      </c>
      <c r="E9" s="56" t="s">
        <v>270</v>
      </c>
      <c r="F9" s="110">
        <v>2</v>
      </c>
      <c r="G9" s="53" t="s">
        <v>284</v>
      </c>
      <c r="H9" s="115">
        <f>'Conversion factors'!$F$36/(242.3/3.6)*100</f>
        <v>49.508873297565003</v>
      </c>
      <c r="I9" s="56" t="s">
        <v>57</v>
      </c>
      <c r="J9" s="56"/>
      <c r="K9" s="56">
        <v>2018</v>
      </c>
      <c r="L9" s="56"/>
      <c r="M9" s="54" t="s">
        <v>183</v>
      </c>
      <c r="N9" s="55" t="s">
        <v>271</v>
      </c>
      <c r="P9" s="95"/>
    </row>
    <row r="10" spans="1:16" x14ac:dyDescent="0.25">
      <c r="A10" s="89" t="s">
        <v>262</v>
      </c>
      <c r="B10" s="110">
        <f>25336/'Conversion factors'!$F$36</f>
        <v>760.33344448149387</v>
      </c>
      <c r="C10" s="56" t="s">
        <v>213</v>
      </c>
      <c r="D10" s="185">
        <f>12.2/'Conversion factors'!$F$36</f>
        <v>0.36612204068022669</v>
      </c>
      <c r="E10" s="56" t="s">
        <v>270</v>
      </c>
      <c r="F10" s="110">
        <v>1</v>
      </c>
      <c r="G10" s="53" t="s">
        <v>284</v>
      </c>
      <c r="H10" s="115">
        <f>'Conversion factors'!$F$36/(222.1/3.6)*100</f>
        <v>54.011706438541196</v>
      </c>
      <c r="I10" s="56" t="s">
        <v>57</v>
      </c>
      <c r="J10" s="56"/>
      <c r="K10" s="56">
        <v>2018</v>
      </c>
      <c r="L10" s="56"/>
      <c r="M10" s="54" t="s">
        <v>183</v>
      </c>
      <c r="N10" s="55" t="s">
        <v>272</v>
      </c>
    </row>
    <row r="11" spans="1:16" ht="30" x14ac:dyDescent="0.25">
      <c r="A11" s="89" t="s">
        <v>263</v>
      </c>
      <c r="B11" s="110">
        <f>151914/'Conversion factors'!$F$36</f>
        <v>4558.9396465488499</v>
      </c>
      <c r="C11" s="56" t="s">
        <v>213</v>
      </c>
      <c r="D11" s="185">
        <f>16.1/'Conversion factors'!$F$36</f>
        <v>0.48316105368456158</v>
      </c>
      <c r="E11" s="56" t="s">
        <v>270</v>
      </c>
      <c r="F11" s="110"/>
      <c r="G11" s="53" t="s">
        <v>284</v>
      </c>
      <c r="H11" s="115">
        <f>'Conversion factors'!$F$36/(304.8/3.6)*100</f>
        <v>39.356955380577425</v>
      </c>
      <c r="I11" s="56" t="s">
        <v>57</v>
      </c>
      <c r="J11" s="56"/>
      <c r="K11" s="56">
        <v>2018</v>
      </c>
      <c r="L11" s="56"/>
      <c r="M11" s="54" t="s">
        <v>183</v>
      </c>
      <c r="N11" s="55" t="s">
        <v>275</v>
      </c>
      <c r="P11" s="104"/>
    </row>
    <row r="12" spans="1:16" ht="45" x14ac:dyDescent="0.25">
      <c r="A12" s="89" t="s">
        <v>182</v>
      </c>
      <c r="B12" s="110">
        <f>349700000*USDEUR/(100*1000000/(8760*91%)*'Conversion factors'!$F$36)</f>
        <v>752.92147422474159</v>
      </c>
      <c r="C12" s="56" t="s">
        <v>213</v>
      </c>
      <c r="D12" s="112"/>
      <c r="E12" s="56"/>
      <c r="F12" s="110">
        <v>3</v>
      </c>
      <c r="G12" s="53" t="s">
        <v>284</v>
      </c>
      <c r="H12" s="115">
        <f>1/2.05*100</f>
        <v>48.780487804878057</v>
      </c>
      <c r="I12" s="56" t="s">
        <v>57</v>
      </c>
      <c r="J12" s="56"/>
      <c r="K12" s="56">
        <v>2016</v>
      </c>
      <c r="L12" s="56"/>
      <c r="M12" s="54" t="s">
        <v>178</v>
      </c>
      <c r="N12" s="55" t="s">
        <v>179</v>
      </c>
      <c r="P12" s="41"/>
    </row>
    <row r="13" spans="1:16" x14ac:dyDescent="0.25">
      <c r="A13" s="89" t="s">
        <v>264</v>
      </c>
      <c r="B13" s="110">
        <f>23233/'Conversion factors'!$F$36</f>
        <v>697.22240746915634</v>
      </c>
      <c r="C13" s="56" t="s">
        <v>213</v>
      </c>
      <c r="D13" s="124">
        <f>((252.6-222.1)/3.6+0.3)/'Conversion factors'!$F$36</f>
        <v>0.26325441813937978</v>
      </c>
      <c r="E13" s="56" t="s">
        <v>270</v>
      </c>
      <c r="F13" s="110"/>
      <c r="G13" s="53" t="s">
        <v>284</v>
      </c>
      <c r="H13" s="115">
        <f>'Conversion factors'!$F$36/(222.1/3.6)*100</f>
        <v>54.011706438541196</v>
      </c>
      <c r="I13" s="56" t="s">
        <v>57</v>
      </c>
      <c r="J13" s="56"/>
      <c r="K13" s="56">
        <v>2018</v>
      </c>
      <c r="L13" s="56"/>
      <c r="M13" s="54" t="s">
        <v>183</v>
      </c>
      <c r="N13" s="55" t="s">
        <v>186</v>
      </c>
      <c r="P13" s="95"/>
    </row>
    <row r="14" spans="1:16" x14ac:dyDescent="0.25">
      <c r="A14" s="89" t="s">
        <v>265</v>
      </c>
      <c r="B14" s="110">
        <f>26487/'Conversion factors'!$F$36</f>
        <v>794.87495831943977</v>
      </c>
      <c r="C14" s="56" t="s">
        <v>213</v>
      </c>
      <c r="D14" s="185">
        <f>14.3/'Conversion factors'!$F$36</f>
        <v>0.42914304768256084</v>
      </c>
      <c r="E14" s="56" t="s">
        <v>270</v>
      </c>
      <c r="F14" s="110">
        <v>5</v>
      </c>
      <c r="G14" s="53" t="s">
        <v>284</v>
      </c>
      <c r="H14" s="115">
        <f>'Conversion factors'!$F$36/(222.1/3.6)*100</f>
        <v>54.011706438541196</v>
      </c>
      <c r="I14" s="56" t="s">
        <v>57</v>
      </c>
      <c r="J14" s="56"/>
      <c r="K14" s="56">
        <v>2018</v>
      </c>
      <c r="L14" s="56"/>
      <c r="M14" s="54" t="s">
        <v>183</v>
      </c>
      <c r="N14" s="55"/>
    </row>
    <row r="15" spans="1:16" x14ac:dyDescent="0.25">
      <c r="A15" s="89" t="s">
        <v>266</v>
      </c>
      <c r="B15" s="110">
        <f>30634/'Conversion factors'!$F$36</f>
        <v>919.32644214738241</v>
      </c>
      <c r="C15" s="56" t="s">
        <v>213</v>
      </c>
      <c r="D15" s="124">
        <f>((272.7-222.1)/3.6+-0.5)/'Conversion factors'!$F$36</f>
        <v>0.40680226742247411</v>
      </c>
      <c r="E15" s="56" t="s">
        <v>270</v>
      </c>
      <c r="F15" s="110">
        <v>2</v>
      </c>
      <c r="G15" s="53" t="s">
        <v>284</v>
      </c>
      <c r="H15" s="115">
        <f>'Conversion factors'!$F$36/(222.1/3.6)*100</f>
        <v>54.011706438541196</v>
      </c>
      <c r="I15" s="56" t="s">
        <v>57</v>
      </c>
      <c r="J15" s="56"/>
      <c r="K15" s="56">
        <v>2018</v>
      </c>
      <c r="L15" s="56"/>
      <c r="M15" s="54" t="s">
        <v>183</v>
      </c>
      <c r="N15" s="55" t="s">
        <v>185</v>
      </c>
      <c r="P15" s="95"/>
    </row>
    <row r="16" spans="1:16" ht="30" x14ac:dyDescent="0.25">
      <c r="A16" s="89" t="s">
        <v>267</v>
      </c>
      <c r="B16" s="110">
        <f>8506/'Conversion factors'!$F$36</f>
        <v>255.26508836278759</v>
      </c>
      <c r="C16" s="56" t="s">
        <v>213</v>
      </c>
      <c r="D16" s="185">
        <f>17.7/'Conversion factors'!$F$36</f>
        <v>0.53117705901967316</v>
      </c>
      <c r="E16" s="56" t="s">
        <v>270</v>
      </c>
      <c r="F16" s="110">
        <v>3</v>
      </c>
      <c r="G16" s="53" t="s">
        <v>284</v>
      </c>
      <c r="H16" s="115">
        <f>'Conversion factors'!$F$36/(224.4/3.6+2.3)*100</f>
        <v>51.555784768781152</v>
      </c>
      <c r="I16" s="56" t="s">
        <v>57</v>
      </c>
      <c r="J16" s="56"/>
      <c r="K16" s="56">
        <v>2018</v>
      </c>
      <c r="L16" s="56"/>
      <c r="M16" s="54" t="s">
        <v>183</v>
      </c>
      <c r="N16" s="55" t="s">
        <v>184</v>
      </c>
      <c r="P16" s="95"/>
    </row>
    <row r="17" spans="1:16" x14ac:dyDescent="0.25">
      <c r="A17" s="89" t="s">
        <v>268</v>
      </c>
      <c r="B17" s="110">
        <f>13892/'Conversion factors'!$F$36</f>
        <v>416.89896632210736</v>
      </c>
      <c r="C17" s="56" t="s">
        <v>213</v>
      </c>
      <c r="D17" s="124">
        <f>((299-222.1)/3.6+0)/'Conversion factors'!$F$36</f>
        <v>0.6410470156718906</v>
      </c>
      <c r="E17" s="56" t="s">
        <v>270</v>
      </c>
      <c r="F17" s="110">
        <v>3</v>
      </c>
      <c r="G17" s="53" t="s">
        <v>284</v>
      </c>
      <c r="H17" s="115">
        <f>'Conversion factors'!$F$36/(222.1/3.6)*100</f>
        <v>54.011706438541196</v>
      </c>
      <c r="I17" s="56" t="s">
        <v>57</v>
      </c>
      <c r="J17" s="56"/>
      <c r="K17" s="56">
        <v>2018</v>
      </c>
      <c r="L17" s="56"/>
      <c r="M17" s="54" t="s">
        <v>183</v>
      </c>
      <c r="N17" s="55"/>
    </row>
    <row r="18" spans="1:16" ht="30" x14ac:dyDescent="0.25">
      <c r="A18" s="89" t="s">
        <v>269</v>
      </c>
      <c r="B18" s="110">
        <f>35962/'Conversion factors'!$F$36</f>
        <v>1079.2197399133045</v>
      </c>
      <c r="C18" s="56" t="s">
        <v>213</v>
      </c>
      <c r="D18" s="124">
        <f>((266.8-222.1)/3.6+0)/'Conversion factors'!$F$36</f>
        <v>0.37262420806935659</v>
      </c>
      <c r="E18" s="56" t="s">
        <v>270</v>
      </c>
      <c r="F18" s="110">
        <v>3</v>
      </c>
      <c r="G18" s="53" t="s">
        <v>284</v>
      </c>
      <c r="H18" s="115">
        <f>'Conversion factors'!$F$36/(222.1/3.6+0)*100</f>
        <v>54.011706438541196</v>
      </c>
      <c r="I18" s="56" t="s">
        <v>57</v>
      </c>
      <c r="J18" s="56"/>
      <c r="K18" s="56">
        <v>2018</v>
      </c>
      <c r="L18" s="56"/>
      <c r="M18" s="54" t="s">
        <v>183</v>
      </c>
      <c r="N18" s="55" t="s">
        <v>187</v>
      </c>
      <c r="P18" s="103"/>
    </row>
    <row r="19" spans="1:16" x14ac:dyDescent="0.25">
      <c r="A19" s="89"/>
      <c r="B19" s="110"/>
      <c r="C19" s="56"/>
      <c r="D19" s="110"/>
      <c r="E19" s="56"/>
      <c r="F19" s="110"/>
      <c r="G19" s="56"/>
      <c r="H19" s="115"/>
      <c r="I19" s="56"/>
      <c r="J19" s="56"/>
      <c r="K19" s="56"/>
      <c r="L19" s="56"/>
      <c r="M19" s="54"/>
      <c r="N19" s="55"/>
      <c r="P19" s="103"/>
    </row>
    <row r="20" spans="1:16" x14ac:dyDescent="0.25">
      <c r="A20" s="89" t="s">
        <v>277</v>
      </c>
      <c r="B20" s="110"/>
      <c r="C20" s="56"/>
      <c r="D20" s="110"/>
      <c r="E20" s="56"/>
      <c r="F20" s="110"/>
      <c r="G20" s="56"/>
      <c r="H20" s="115"/>
      <c r="I20" s="56"/>
      <c r="J20" s="56" t="s">
        <v>253</v>
      </c>
      <c r="K20" s="56">
        <v>2020</v>
      </c>
      <c r="L20" s="56"/>
      <c r="M20" s="54" t="s">
        <v>254</v>
      </c>
      <c r="N20" s="55"/>
      <c r="P20" s="103"/>
    </row>
    <row r="21" spans="1:16" x14ac:dyDescent="0.25">
      <c r="A21" s="89" t="s">
        <v>175</v>
      </c>
      <c r="B21" s="110"/>
      <c r="C21" s="56"/>
      <c r="D21" s="110"/>
      <c r="E21" s="56"/>
      <c r="F21" s="110"/>
      <c r="G21" s="56"/>
      <c r="H21" s="115"/>
      <c r="I21" s="56"/>
      <c r="J21" s="56" t="s">
        <v>255</v>
      </c>
      <c r="K21" s="56">
        <v>2020</v>
      </c>
      <c r="L21" s="56"/>
      <c r="M21" s="54" t="s">
        <v>254</v>
      </c>
      <c r="N21" s="55"/>
      <c r="P21" s="103"/>
    </row>
    <row r="22" spans="1:16" x14ac:dyDescent="0.25">
      <c r="A22" s="89" t="s">
        <v>276</v>
      </c>
      <c r="B22" s="110"/>
      <c r="C22" s="56"/>
      <c r="D22" s="110"/>
      <c r="E22" s="56"/>
      <c r="F22" s="110"/>
      <c r="G22" s="56"/>
      <c r="H22" s="115"/>
      <c r="I22" s="56"/>
      <c r="J22" s="56" t="s">
        <v>253</v>
      </c>
      <c r="K22" s="56">
        <v>2020</v>
      </c>
      <c r="L22" s="56"/>
      <c r="M22" s="54" t="s">
        <v>254</v>
      </c>
      <c r="N22" s="55"/>
      <c r="P22" s="103"/>
    </row>
    <row r="23" spans="1:16" x14ac:dyDescent="0.25">
      <c r="A23" s="89" t="s">
        <v>256</v>
      </c>
      <c r="B23" s="110"/>
      <c r="C23" s="56"/>
      <c r="D23" s="112"/>
      <c r="E23" s="56"/>
      <c r="F23" s="110"/>
      <c r="G23" s="56"/>
      <c r="H23" s="115"/>
      <c r="I23" s="56"/>
      <c r="J23" s="56" t="s">
        <v>257</v>
      </c>
      <c r="K23" s="56">
        <v>2020</v>
      </c>
      <c r="L23" s="56"/>
      <c r="M23" s="54" t="s">
        <v>258</v>
      </c>
      <c r="N23" s="55"/>
    </row>
    <row r="24" spans="1:16" s="23" customFormat="1" x14ac:dyDescent="0.25">
      <c r="A24" s="304" t="s">
        <v>383</v>
      </c>
      <c r="B24" s="111"/>
      <c r="C24" s="20"/>
      <c r="D24" s="111"/>
      <c r="E24" s="20"/>
      <c r="F24" s="111"/>
      <c r="G24" s="111"/>
      <c r="H24" s="111"/>
      <c r="I24" s="20"/>
      <c r="J24" s="20"/>
      <c r="K24" s="20"/>
      <c r="L24" s="20"/>
      <c r="M24" s="21"/>
      <c r="N24" s="22"/>
    </row>
    <row r="25" spans="1:16" s="29" customFormat="1" ht="45" x14ac:dyDescent="0.25">
      <c r="A25" s="310" t="s">
        <v>393</v>
      </c>
      <c r="B25" s="110">
        <f>1200000000*NOKEUR/(1670000*'Conversion factors'!F14/24)</f>
        <v>51.788315261369164</v>
      </c>
      <c r="C25" s="64" t="s">
        <v>395</v>
      </c>
      <c r="D25" s="110"/>
      <c r="E25" s="64"/>
      <c r="F25" s="80">
        <v>2.5</v>
      </c>
      <c r="G25" s="64" t="s">
        <v>284</v>
      </c>
      <c r="H25" s="80"/>
      <c r="I25" s="64"/>
      <c r="J25" s="64">
        <v>4</v>
      </c>
      <c r="K25" s="64"/>
      <c r="L25" s="64"/>
      <c r="M25" s="162" t="s">
        <v>65</v>
      </c>
      <c r="N25" s="143" t="s">
        <v>389</v>
      </c>
    </row>
    <row r="26" spans="1:16" s="29" customFormat="1" ht="45" x14ac:dyDescent="0.25">
      <c r="A26" s="310"/>
      <c r="B26" s="110">
        <f>230000000*USDEUR/(4200000000/5000*'Conversion factors'!C52*'Conversion factors'!F14)</f>
        <v>115.62902187902189</v>
      </c>
      <c r="C26" s="64" t="s">
        <v>395</v>
      </c>
      <c r="D26" s="110"/>
      <c r="E26" s="64"/>
      <c r="F26" s="80">
        <v>4</v>
      </c>
      <c r="G26" s="64" t="s">
        <v>284</v>
      </c>
      <c r="H26" s="80"/>
      <c r="I26" s="64"/>
      <c r="J26" s="64"/>
      <c r="K26" s="64">
        <v>2019</v>
      </c>
      <c r="L26" s="64"/>
      <c r="M26" s="142" t="s">
        <v>66</v>
      </c>
      <c r="N26" s="143" t="s">
        <v>390</v>
      </c>
    </row>
    <row r="27" spans="1:16" s="29" customFormat="1" ht="60" x14ac:dyDescent="0.25">
      <c r="A27" s="310" t="s">
        <v>394</v>
      </c>
      <c r="B27" s="110">
        <f>(560000000*NOKEUR/(850000*'Conversion factors'!F14/24))+(1170000000*NOKEUR/(440140*'Conversion factors'!F25*1000))</f>
        <v>136.21908882972278</v>
      </c>
      <c r="C27" s="64" t="s">
        <v>395</v>
      </c>
      <c r="D27" s="185">
        <f>(9.411+1.1+0.4)/'Conversion factors'!F14</f>
        <v>0.3276576576576577</v>
      </c>
      <c r="E27" s="64" t="s">
        <v>270</v>
      </c>
      <c r="F27" s="80">
        <v>2.5</v>
      </c>
      <c r="G27" s="64" t="s">
        <v>284</v>
      </c>
      <c r="H27" s="80">
        <v>90</v>
      </c>
      <c r="I27" s="56" t="s">
        <v>405</v>
      </c>
      <c r="J27" s="64">
        <v>4</v>
      </c>
      <c r="K27" s="64"/>
      <c r="L27" s="64"/>
      <c r="M27" s="162" t="s">
        <v>65</v>
      </c>
      <c r="N27" s="143" t="s">
        <v>401</v>
      </c>
    </row>
    <row r="28" spans="1:16" s="29" customFormat="1" ht="60" x14ac:dyDescent="0.25">
      <c r="A28" s="310"/>
      <c r="B28" s="110">
        <f>670000000*USDEUR/(4200000000/5000*'Conversion factors'!C52*'Conversion factors'!F14)</f>
        <v>336.83236808236813</v>
      </c>
      <c r="C28" s="64" t="s">
        <v>395</v>
      </c>
      <c r="D28" s="185">
        <f>(13.6+0.4+1.1)/'Conversion factors'!F14</f>
        <v>0.4534534534534535</v>
      </c>
      <c r="E28" s="64" t="s">
        <v>270</v>
      </c>
      <c r="F28" s="80">
        <v>4</v>
      </c>
      <c r="G28" s="64" t="s">
        <v>284</v>
      </c>
      <c r="H28" s="80">
        <v>90</v>
      </c>
      <c r="I28" s="56" t="s">
        <v>405</v>
      </c>
      <c r="J28" s="64"/>
      <c r="K28" s="64">
        <v>2019</v>
      </c>
      <c r="L28" s="64"/>
      <c r="M28" s="142" t="s">
        <v>66</v>
      </c>
      <c r="N28" s="143" t="s">
        <v>400</v>
      </c>
    </row>
    <row r="29" spans="1:16" s="29" customFormat="1" ht="45" x14ac:dyDescent="0.25">
      <c r="A29" s="310"/>
      <c r="B29" s="110"/>
      <c r="C29" s="64"/>
      <c r="D29" s="185">
        <f>(780/(65*'Conversion factors'!F14))+((1.1+0.4)/'Conversion factors'!F14)</f>
        <v>0.40540540540540537</v>
      </c>
      <c r="E29" s="64" t="s">
        <v>270</v>
      </c>
      <c r="F29" s="80"/>
      <c r="G29" s="64"/>
      <c r="H29" s="80"/>
      <c r="I29" s="64"/>
      <c r="J29" s="64"/>
      <c r="K29" s="64"/>
      <c r="L29" s="64"/>
      <c r="M29" s="309" t="s">
        <v>391</v>
      </c>
      <c r="N29" s="143" t="s">
        <v>392</v>
      </c>
    </row>
    <row r="30" spans="1:16" s="29" customFormat="1" x14ac:dyDescent="0.25">
      <c r="A30" s="10"/>
      <c r="B30" s="110"/>
      <c r="C30" s="56"/>
      <c r="D30" s="110"/>
      <c r="E30" s="247"/>
      <c r="F30" s="106">
        <v>4</v>
      </c>
      <c r="G30" s="70" t="s">
        <v>284</v>
      </c>
      <c r="H30" s="106"/>
      <c r="I30" s="247"/>
      <c r="J30" s="247"/>
      <c r="K30" s="247">
        <v>2018</v>
      </c>
      <c r="L30" s="247"/>
      <c r="M30" s="308" t="s">
        <v>236</v>
      </c>
      <c r="N30" s="172" t="s">
        <v>242</v>
      </c>
    </row>
    <row r="31" spans="1:16" x14ac:dyDescent="0.25">
      <c r="A31" s="24" t="s">
        <v>214</v>
      </c>
      <c r="B31" s="123"/>
      <c r="C31" s="20"/>
      <c r="D31" s="122"/>
      <c r="E31" s="20"/>
      <c r="F31" s="122"/>
      <c r="G31" s="20"/>
      <c r="H31" s="122"/>
      <c r="I31" s="20"/>
      <c r="J31" s="20"/>
      <c r="K31" s="20"/>
      <c r="L31" s="20"/>
      <c r="M31" s="21"/>
      <c r="N31" s="22"/>
      <c r="O31" s="77"/>
    </row>
    <row r="32" spans="1:16" x14ac:dyDescent="0.25">
      <c r="A32" s="33" t="s">
        <v>54</v>
      </c>
      <c r="B32" s="114">
        <f>B33*0.7</f>
        <v>565.90328820116042</v>
      </c>
      <c r="C32" s="45" t="s">
        <v>282</v>
      </c>
      <c r="D32" s="116"/>
      <c r="E32" s="33"/>
      <c r="F32" s="113"/>
      <c r="G32" s="34"/>
      <c r="H32" s="113"/>
      <c r="I32" s="33"/>
      <c r="J32" s="33">
        <v>9</v>
      </c>
      <c r="K32" s="165">
        <v>2007</v>
      </c>
      <c r="L32" s="133"/>
      <c r="M32" s="166" t="s">
        <v>60</v>
      </c>
      <c r="N32" s="35" t="s">
        <v>59</v>
      </c>
    </row>
    <row r="33" spans="1:27" s="37" customFormat="1" ht="15" customHeight="1" x14ac:dyDescent="0.25">
      <c r="A33" s="56" t="s">
        <v>55</v>
      </c>
      <c r="B33" s="115">
        <f>430000000*USDEUR/(2200000/24*'Conversion factors'!$F$37)</f>
        <v>808.43326885880072</v>
      </c>
      <c r="C33" s="53" t="s">
        <v>282</v>
      </c>
      <c r="D33" s="128">
        <f>0.39/'Conversion factors'!F37</f>
        <v>7.4680851063829795E-2</v>
      </c>
      <c r="E33" s="56" t="s">
        <v>285</v>
      </c>
      <c r="F33" s="112"/>
      <c r="G33" s="56"/>
      <c r="H33" s="112"/>
      <c r="I33" s="56"/>
      <c r="J33" s="56">
        <v>9</v>
      </c>
      <c r="K33" s="161">
        <v>2007</v>
      </c>
      <c r="L33" s="64"/>
      <c r="M33" s="142" t="s">
        <v>60</v>
      </c>
      <c r="N33" s="55" t="s">
        <v>273</v>
      </c>
      <c r="O33" s="44"/>
      <c r="P33" s="44"/>
      <c r="Q33" s="44"/>
      <c r="R33" s="44"/>
    </row>
    <row r="34" spans="1:27" s="37" customFormat="1" x14ac:dyDescent="0.25">
      <c r="A34" s="56" t="s">
        <v>56</v>
      </c>
      <c r="B34" s="115">
        <f>B33*1.3</f>
        <v>1050.963249516441</v>
      </c>
      <c r="C34" s="53" t="s">
        <v>282</v>
      </c>
      <c r="D34" s="112"/>
      <c r="E34" s="56"/>
      <c r="F34" s="112"/>
      <c r="G34" s="56"/>
      <c r="H34" s="112"/>
      <c r="I34" s="56"/>
      <c r="J34" s="56">
        <v>9</v>
      </c>
      <c r="K34" s="161">
        <v>2007</v>
      </c>
      <c r="L34" s="64"/>
      <c r="M34" s="162" t="s">
        <v>60</v>
      </c>
      <c r="N34" s="55" t="s">
        <v>59</v>
      </c>
      <c r="O34" s="44"/>
      <c r="P34" s="44"/>
      <c r="Q34" s="44"/>
      <c r="R34" s="44"/>
      <c r="U34" s="44"/>
      <c r="V34" s="44"/>
      <c r="W34" s="44"/>
      <c r="X34" s="44"/>
      <c r="Y34" s="44"/>
      <c r="Z34" s="44"/>
      <c r="AA34" s="44"/>
    </row>
    <row r="35" spans="1:27" x14ac:dyDescent="0.25">
      <c r="A35" s="49" t="s">
        <v>122</v>
      </c>
      <c r="B35" s="115">
        <f>6250000000*NOKEUR/(5970000*'Conversion factors'!$F$37/24)</f>
        <v>481.12904950283331</v>
      </c>
      <c r="C35" s="53" t="s">
        <v>282</v>
      </c>
      <c r="D35" s="91"/>
      <c r="E35" s="53"/>
      <c r="F35" s="91">
        <v>2.5</v>
      </c>
      <c r="G35" s="53" t="s">
        <v>284</v>
      </c>
      <c r="H35" s="112"/>
      <c r="I35" s="56"/>
      <c r="J35" s="56"/>
      <c r="K35" s="56">
        <v>2025</v>
      </c>
      <c r="L35" s="56"/>
      <c r="M35" s="51" t="s">
        <v>65</v>
      </c>
      <c r="N35" s="52" t="s">
        <v>121</v>
      </c>
    </row>
    <row r="36" spans="1:27" x14ac:dyDescent="0.25">
      <c r="A36" s="49" t="s">
        <v>123</v>
      </c>
      <c r="B36" s="115">
        <f>280000000*NOKEUR/(71000*'Conversion factors'!$F$37/24)</f>
        <v>1812.4063530116871</v>
      </c>
      <c r="C36" s="53" t="s">
        <v>282</v>
      </c>
      <c r="D36" s="91"/>
      <c r="E36" s="154"/>
      <c r="F36" s="91">
        <v>2.5</v>
      </c>
      <c r="G36" s="53" t="s">
        <v>284</v>
      </c>
      <c r="H36" s="112"/>
      <c r="I36" s="56"/>
      <c r="J36" s="56"/>
      <c r="K36" s="56">
        <v>2025</v>
      </c>
      <c r="L36" s="56"/>
      <c r="M36" s="51" t="s">
        <v>65</v>
      </c>
      <c r="N36" s="52" t="s">
        <v>124</v>
      </c>
    </row>
    <row r="37" spans="1:27" x14ac:dyDescent="0.25">
      <c r="A37" s="15"/>
      <c r="B37" s="127">
        <f>496000000*GBPEUR/(4600000*'Conversion factors'!$F$37/24)</f>
        <v>569.87234042553189</v>
      </c>
      <c r="C37" s="53" t="s">
        <v>282</v>
      </c>
      <c r="D37" s="113"/>
      <c r="E37" s="34"/>
      <c r="F37" s="113">
        <v>4</v>
      </c>
      <c r="G37" s="70" t="s">
        <v>284</v>
      </c>
      <c r="H37" s="113"/>
      <c r="I37" s="34"/>
      <c r="J37" s="34"/>
      <c r="K37" s="34">
        <v>2018</v>
      </c>
      <c r="L37" s="34"/>
      <c r="M37" s="40" t="s">
        <v>236</v>
      </c>
      <c r="N37" s="13" t="s">
        <v>242</v>
      </c>
    </row>
    <row r="38" spans="1:27" s="37" customFormat="1" x14ac:dyDescent="0.25">
      <c r="A38" s="56" t="s">
        <v>54</v>
      </c>
      <c r="B38" s="145"/>
      <c r="C38" s="64"/>
      <c r="D38" s="112">
        <v>7.9000000000000001E-2</v>
      </c>
      <c r="E38" s="56" t="s">
        <v>285</v>
      </c>
      <c r="F38" s="112"/>
      <c r="G38" s="56"/>
      <c r="H38" s="129"/>
      <c r="I38" s="58"/>
      <c r="J38" s="58"/>
      <c r="K38" s="58"/>
      <c r="L38" s="161" t="s">
        <v>134</v>
      </c>
      <c r="M38" s="162" t="s">
        <v>66</v>
      </c>
      <c r="N38" s="163" t="s">
        <v>251</v>
      </c>
      <c r="O38" s="44"/>
      <c r="P38" s="44"/>
      <c r="Q38" s="44"/>
      <c r="R38" s="44"/>
      <c r="U38" s="44"/>
      <c r="V38" s="44"/>
      <c r="W38" s="44"/>
      <c r="X38" s="44"/>
      <c r="Y38" s="156"/>
      <c r="Z38" s="157"/>
      <c r="AA38" s="77"/>
    </row>
    <row r="39" spans="1:27" x14ac:dyDescent="0.25">
      <c r="A39" s="50" t="s">
        <v>55</v>
      </c>
      <c r="B39" s="80"/>
      <c r="C39" s="64"/>
      <c r="D39" s="79">
        <f>(D38+D40)/2</f>
        <v>0.14149999999999999</v>
      </c>
      <c r="E39" s="56" t="s">
        <v>285</v>
      </c>
      <c r="F39" s="73"/>
      <c r="G39" s="50"/>
      <c r="H39" s="129"/>
      <c r="I39" s="58"/>
      <c r="J39" s="58"/>
      <c r="K39" s="58"/>
      <c r="L39" s="161" t="s">
        <v>134</v>
      </c>
      <c r="M39" s="162" t="s">
        <v>66</v>
      </c>
      <c r="N39" s="163" t="s">
        <v>73</v>
      </c>
      <c r="O39" s="77"/>
      <c r="P39" s="77"/>
      <c r="Q39" s="77"/>
      <c r="R39" s="77"/>
      <c r="U39" s="77"/>
      <c r="V39" s="77"/>
      <c r="W39" s="77"/>
      <c r="X39" s="77"/>
      <c r="Y39" s="159"/>
      <c r="Z39" s="159"/>
      <c r="AA39" s="77"/>
    </row>
    <row r="40" spans="1:27" s="37" customFormat="1" ht="15" customHeight="1" x14ac:dyDescent="0.25">
      <c r="A40" s="56" t="s">
        <v>56</v>
      </c>
      <c r="B40" s="80"/>
      <c r="C40" s="64"/>
      <c r="D40" s="79">
        <v>0.20399999999999999</v>
      </c>
      <c r="E40" s="56" t="s">
        <v>285</v>
      </c>
      <c r="F40" s="112"/>
      <c r="G40" s="56"/>
      <c r="H40" s="129"/>
      <c r="I40" s="58"/>
      <c r="J40" s="58"/>
      <c r="K40" s="58"/>
      <c r="L40" s="161" t="s">
        <v>134</v>
      </c>
      <c r="M40" s="142" t="s">
        <v>66</v>
      </c>
      <c r="N40" s="163" t="s">
        <v>252</v>
      </c>
      <c r="U40" s="44"/>
      <c r="V40" s="44"/>
      <c r="W40" s="44"/>
      <c r="X40" s="44"/>
      <c r="Y40" s="159"/>
      <c r="Z40" s="160"/>
      <c r="AA40" s="77"/>
    </row>
    <row r="41" spans="1:27" s="37" customFormat="1" x14ac:dyDescent="0.25">
      <c r="A41" s="56"/>
      <c r="B41" s="80"/>
      <c r="C41" s="64"/>
      <c r="D41" s="124"/>
      <c r="E41" s="56"/>
      <c r="F41" s="106">
        <v>4</v>
      </c>
      <c r="G41" s="70" t="s">
        <v>284</v>
      </c>
      <c r="H41" s="184"/>
      <c r="I41" s="56"/>
      <c r="J41" s="56"/>
      <c r="K41" s="56"/>
      <c r="L41" s="56"/>
      <c r="M41" s="54" t="s">
        <v>60</v>
      </c>
      <c r="N41" s="55" t="s">
        <v>250</v>
      </c>
      <c r="U41" s="44"/>
      <c r="V41" s="44"/>
      <c r="W41" s="44"/>
      <c r="X41" s="44"/>
      <c r="Y41" s="158"/>
      <c r="Z41" s="158"/>
      <c r="AA41" s="44"/>
    </row>
    <row r="42" spans="1:27" x14ac:dyDescent="0.25">
      <c r="A42" s="24" t="s">
        <v>8</v>
      </c>
      <c r="B42" s="123"/>
      <c r="C42" s="20"/>
      <c r="D42" s="123"/>
      <c r="E42" s="20"/>
      <c r="F42" s="111"/>
      <c r="G42" s="20"/>
      <c r="H42" s="111"/>
      <c r="I42" s="20"/>
      <c r="J42" s="20"/>
      <c r="K42" s="20"/>
      <c r="L42" s="20"/>
      <c r="M42" s="21"/>
      <c r="N42" s="22"/>
      <c r="O42" s="77"/>
    </row>
    <row r="43" spans="1:27" ht="30" x14ac:dyDescent="0.25">
      <c r="A43" s="33" t="s">
        <v>54</v>
      </c>
      <c r="B43" s="114">
        <f>235*GBPEUR*('Conversion factors'!C36/'Conversion factors'!D36)</f>
        <v>228.75522156364661</v>
      </c>
      <c r="C43" s="33" t="s">
        <v>213</v>
      </c>
      <c r="D43" s="167">
        <f>(1-0.875)*'Conversion factors'!G36/'Conversion factors'!F36</f>
        <v>0.14767422474158051</v>
      </c>
      <c r="E43" s="33" t="s">
        <v>270</v>
      </c>
      <c r="F43" s="91">
        <v>3</v>
      </c>
      <c r="G43" s="53" t="s">
        <v>284</v>
      </c>
      <c r="H43" s="113"/>
      <c r="I43" s="33"/>
      <c r="J43" s="33"/>
      <c r="K43" s="33">
        <v>2018</v>
      </c>
      <c r="L43" s="33"/>
      <c r="M43" s="46" t="s">
        <v>74</v>
      </c>
      <c r="N43" s="35" t="s">
        <v>292</v>
      </c>
      <c r="O43" s="44"/>
      <c r="P43" s="77"/>
      <c r="Q43" s="92"/>
      <c r="R43" s="77"/>
      <c r="S43" s="77"/>
    </row>
    <row r="44" spans="1:27" s="37" customFormat="1" x14ac:dyDescent="0.25">
      <c r="A44" s="56" t="s">
        <v>55</v>
      </c>
      <c r="B44" s="115">
        <f>(B43+B45)/2</f>
        <v>235.08249364944959</v>
      </c>
      <c r="C44" s="56" t="s">
        <v>213</v>
      </c>
      <c r="D44" s="146">
        <f>(D43+D45)/2</f>
        <v>0.13940446815605201</v>
      </c>
      <c r="E44" s="50" t="s">
        <v>270</v>
      </c>
      <c r="F44" s="91">
        <v>3</v>
      </c>
      <c r="G44" s="53" t="s">
        <v>284</v>
      </c>
      <c r="H44" s="112"/>
      <c r="I44" s="56"/>
      <c r="J44" s="56"/>
      <c r="K44" s="50">
        <v>2018</v>
      </c>
      <c r="L44" s="56"/>
      <c r="M44" s="54" t="s">
        <v>74</v>
      </c>
      <c r="N44" s="55" t="s">
        <v>274</v>
      </c>
      <c r="O44" s="77"/>
      <c r="P44" s="44"/>
      <c r="Q44" s="44"/>
      <c r="R44" s="44"/>
      <c r="S44" s="44"/>
    </row>
    <row r="45" spans="1:27" s="37" customFormat="1" x14ac:dyDescent="0.25">
      <c r="A45" s="56" t="s">
        <v>56</v>
      </c>
      <c r="B45" s="115">
        <f>248*GBPEUR*('Conversion factors'!C36/'Conversion factors'!D36)</f>
        <v>241.40976573525259</v>
      </c>
      <c r="C45" s="56" t="s">
        <v>213</v>
      </c>
      <c r="D45" s="128">
        <f>(1-0.889)*'Conversion factors'!G36/'Conversion factors'!F36</f>
        <v>0.1311347115705235</v>
      </c>
      <c r="E45" s="56" t="s">
        <v>270</v>
      </c>
      <c r="F45" s="91">
        <v>3</v>
      </c>
      <c r="G45" s="53" t="s">
        <v>284</v>
      </c>
      <c r="H45" s="112"/>
      <c r="I45" s="56"/>
      <c r="J45" s="56"/>
      <c r="K45" s="50">
        <v>2018</v>
      </c>
      <c r="L45" s="56"/>
      <c r="M45" s="54" t="s">
        <v>74</v>
      </c>
      <c r="N45" s="55" t="s">
        <v>293</v>
      </c>
      <c r="P45" s="44"/>
      <c r="Q45" s="44"/>
      <c r="R45" s="44"/>
      <c r="S45" s="44"/>
    </row>
    <row r="46" spans="1:27" ht="45" x14ac:dyDescent="0.25">
      <c r="A46" s="49" t="s">
        <v>122</v>
      </c>
      <c r="B46" s="117">
        <f>3860000000*NOKEUR/(5440000*0.177*'Conversion factors'!F14/24)</f>
        <v>288.92302072760702</v>
      </c>
      <c r="C46" s="56" t="s">
        <v>213</v>
      </c>
      <c r="D46" s="91">
        <v>0.127</v>
      </c>
      <c r="E46" s="50" t="s">
        <v>270</v>
      </c>
      <c r="F46" s="91">
        <v>2.5</v>
      </c>
      <c r="G46" s="53" t="s">
        <v>284</v>
      </c>
      <c r="H46" s="112">
        <v>90</v>
      </c>
      <c r="I46" s="56" t="s">
        <v>405</v>
      </c>
      <c r="J46" s="56"/>
      <c r="K46" s="56">
        <v>2025</v>
      </c>
      <c r="L46" s="56"/>
      <c r="M46" s="51" t="s">
        <v>65</v>
      </c>
      <c r="N46" s="52" t="s">
        <v>402</v>
      </c>
      <c r="P46" s="77"/>
      <c r="Q46" s="77"/>
      <c r="R46" s="92"/>
      <c r="S46" s="77"/>
    </row>
    <row r="47" spans="1:27" x14ac:dyDescent="0.25">
      <c r="A47" s="49" t="s">
        <v>123</v>
      </c>
      <c r="B47" s="118">
        <f>180000000*NOKEUR/(67000*0.177*'Conversion factors'!F14/24)</f>
        <v>1093.9348151592017</v>
      </c>
      <c r="C47" s="53" t="s">
        <v>213</v>
      </c>
      <c r="D47" s="91"/>
      <c r="E47" s="53"/>
      <c r="F47" s="91">
        <v>2.5</v>
      </c>
      <c r="G47" s="53" t="s">
        <v>284</v>
      </c>
      <c r="H47" s="113"/>
      <c r="I47" s="34"/>
      <c r="J47" s="34"/>
      <c r="K47" s="56">
        <v>2025</v>
      </c>
      <c r="L47" s="34"/>
      <c r="M47" s="51" t="s">
        <v>65</v>
      </c>
      <c r="N47" s="52" t="s">
        <v>280</v>
      </c>
      <c r="P47" s="77"/>
      <c r="Q47" s="77"/>
      <c r="R47" s="92"/>
      <c r="S47" s="77"/>
    </row>
    <row r="48" spans="1:27" x14ac:dyDescent="0.25">
      <c r="A48" s="20" t="s">
        <v>172</v>
      </c>
      <c r="B48" s="111"/>
      <c r="C48" s="20"/>
      <c r="D48" s="111"/>
      <c r="E48" s="20"/>
      <c r="F48" s="111"/>
      <c r="G48" s="20"/>
      <c r="H48" s="111"/>
      <c r="I48" s="20"/>
      <c r="J48" s="20"/>
      <c r="K48" s="20"/>
      <c r="L48" s="20"/>
      <c r="M48" s="21"/>
      <c r="N48" s="22"/>
      <c r="P48" s="77"/>
      <c r="Q48" s="77"/>
      <c r="R48" s="77"/>
      <c r="S48" s="77"/>
    </row>
    <row r="49" spans="1:14" x14ac:dyDescent="0.25">
      <c r="A49" s="30"/>
      <c r="B49" s="119"/>
      <c r="C49" s="25"/>
      <c r="D49" s="119"/>
      <c r="E49" s="25"/>
      <c r="F49" s="119"/>
      <c r="G49" s="25"/>
      <c r="H49" s="116"/>
      <c r="I49" s="33"/>
      <c r="J49" s="25"/>
      <c r="K49" s="25"/>
      <c r="L49" s="25"/>
      <c r="M49" s="46"/>
      <c r="N49" s="35"/>
    </row>
    <row r="50" spans="1:14" ht="30" x14ac:dyDescent="0.25">
      <c r="A50" s="58" t="s">
        <v>224</v>
      </c>
      <c r="B50" s="120"/>
      <c r="C50" s="60"/>
      <c r="D50" s="120"/>
      <c r="E50" s="60"/>
      <c r="F50" s="120"/>
      <c r="G50" s="60"/>
      <c r="H50" s="120"/>
      <c r="I50" s="60"/>
      <c r="J50" s="60"/>
      <c r="K50" s="60"/>
      <c r="L50" s="60"/>
      <c r="M50" s="61"/>
      <c r="N50" s="62"/>
    </row>
    <row r="51" spans="1:14" x14ac:dyDescent="0.25">
      <c r="A51" s="59"/>
      <c r="B51" s="120"/>
      <c r="C51" s="60"/>
      <c r="D51" s="120"/>
      <c r="E51" s="60"/>
      <c r="F51" s="120"/>
      <c r="G51" s="60"/>
      <c r="H51" s="120"/>
      <c r="I51" s="60"/>
      <c r="J51" s="60"/>
      <c r="K51" s="60"/>
      <c r="L51" s="60"/>
      <c r="M51" s="61"/>
      <c r="N51" s="62"/>
    </row>
    <row r="52" spans="1:14" x14ac:dyDescent="0.25">
      <c r="A52" s="59"/>
      <c r="B52" s="120"/>
      <c r="C52" s="60"/>
      <c r="D52" s="120"/>
      <c r="E52" s="60"/>
      <c r="F52" s="120"/>
      <c r="G52" s="60"/>
      <c r="H52" s="120"/>
      <c r="I52" s="60"/>
      <c r="J52" s="60"/>
      <c r="K52" s="60"/>
      <c r="L52" s="60"/>
      <c r="M52" s="61"/>
      <c r="N52" s="62"/>
    </row>
    <row r="53" spans="1:14" x14ac:dyDescent="0.25">
      <c r="A53" s="31"/>
      <c r="B53" s="121"/>
      <c r="C53" s="26"/>
      <c r="D53" s="121"/>
      <c r="E53" s="26"/>
      <c r="F53" s="121"/>
      <c r="G53" s="26"/>
      <c r="H53" s="121"/>
      <c r="I53" s="26"/>
      <c r="J53" s="26"/>
      <c r="K53" s="26"/>
      <c r="L53" s="26"/>
      <c r="M53" s="27"/>
      <c r="N53" s="28"/>
    </row>
    <row r="54" spans="1:14" x14ac:dyDescent="0.25">
      <c r="A54" s="24" t="s">
        <v>9</v>
      </c>
      <c r="B54" s="111"/>
      <c r="C54" s="20"/>
      <c r="D54" s="111"/>
      <c r="E54" s="20"/>
      <c r="F54" s="111"/>
      <c r="G54" s="20"/>
      <c r="H54" s="111"/>
      <c r="I54" s="20"/>
      <c r="J54" s="20"/>
      <c r="K54" s="20"/>
      <c r="L54" s="20"/>
      <c r="M54" s="21"/>
      <c r="N54" s="22"/>
    </row>
    <row r="55" spans="1:14" ht="60" x14ac:dyDescent="0.25">
      <c r="A55" s="15"/>
      <c r="B55" s="118">
        <f>20600000/(6130*'Conversion factors'!$F$39)</f>
        <v>607.47573598888255</v>
      </c>
      <c r="C55" s="48" t="s">
        <v>278</v>
      </c>
      <c r="D55" s="179">
        <f>0.44*1000/(1000*'Conversion factors'!$F$39)</f>
        <v>7.9538036655787098E-2</v>
      </c>
      <c r="E55" s="34" t="s">
        <v>283</v>
      </c>
      <c r="F55" s="113"/>
      <c r="G55" s="34"/>
      <c r="H55" s="113">
        <v>96</v>
      </c>
      <c r="I55" s="34" t="s">
        <v>57</v>
      </c>
      <c r="J55" s="71" t="s">
        <v>105</v>
      </c>
      <c r="K55" s="34">
        <v>2019</v>
      </c>
      <c r="L55" s="34"/>
      <c r="M55" s="40" t="s">
        <v>104</v>
      </c>
      <c r="N55" s="13" t="s">
        <v>107</v>
      </c>
    </row>
    <row r="56" spans="1:14" ht="45" x14ac:dyDescent="0.25">
      <c r="A56" s="49"/>
      <c r="B56" s="109">
        <f>218460000/(55000*'Conversion factors'!$F$39)</f>
        <v>718.01154908360536</v>
      </c>
      <c r="C56" s="56" t="s">
        <v>278</v>
      </c>
      <c r="D56" s="79">
        <f>0.4*1000/(1000*'Conversion factors'!$F$39)</f>
        <v>7.2307306050715545E-2</v>
      </c>
      <c r="E56" s="70" t="s">
        <v>283</v>
      </c>
      <c r="F56" s="75">
        <f>11000000/218460000*100</f>
        <v>5.0352467270896275</v>
      </c>
      <c r="G56" s="70" t="s">
        <v>284</v>
      </c>
      <c r="H56" s="73"/>
      <c r="I56" s="50"/>
      <c r="J56" s="74" t="s">
        <v>105</v>
      </c>
      <c r="K56" s="50">
        <v>2014</v>
      </c>
      <c r="L56" s="50"/>
      <c r="M56" s="51" t="s">
        <v>106</v>
      </c>
      <c r="N56" s="52" t="s">
        <v>279</v>
      </c>
    </row>
    <row r="57" spans="1:14" x14ac:dyDescent="0.25">
      <c r="A57" s="49" t="s">
        <v>55</v>
      </c>
      <c r="B57" s="109">
        <v>300</v>
      </c>
      <c r="C57" s="56" t="s">
        <v>278</v>
      </c>
      <c r="D57" s="73"/>
      <c r="E57" s="50"/>
      <c r="F57" s="75">
        <v>4</v>
      </c>
      <c r="G57" s="53" t="s">
        <v>284</v>
      </c>
      <c r="H57" s="112">
        <v>79</v>
      </c>
      <c r="I57" s="70" t="s">
        <v>110</v>
      </c>
      <c r="J57" s="50"/>
      <c r="K57" s="56">
        <v>2015</v>
      </c>
      <c r="L57" s="56"/>
      <c r="M57" s="51" t="s">
        <v>112</v>
      </c>
      <c r="N57" s="52" t="s">
        <v>111</v>
      </c>
    </row>
    <row r="58" spans="1:14" x14ac:dyDescent="0.25">
      <c r="A58" s="49" t="s">
        <v>54</v>
      </c>
      <c r="B58" s="115">
        <v>200</v>
      </c>
      <c r="C58" s="56" t="s">
        <v>278</v>
      </c>
      <c r="D58" s="112"/>
      <c r="E58" s="56"/>
      <c r="F58" s="75">
        <v>4</v>
      </c>
      <c r="G58" s="53" t="s">
        <v>284</v>
      </c>
      <c r="H58" s="112">
        <v>89</v>
      </c>
      <c r="I58" s="70" t="s">
        <v>110</v>
      </c>
      <c r="J58" s="56"/>
      <c r="K58" s="56">
        <v>2015</v>
      </c>
      <c r="L58" s="56"/>
      <c r="M58" s="51" t="s">
        <v>112</v>
      </c>
      <c r="N58" s="52"/>
    </row>
    <row r="59" spans="1:14" x14ac:dyDescent="0.25">
      <c r="A59" s="49" t="s">
        <v>56</v>
      </c>
      <c r="B59" s="115">
        <v>400</v>
      </c>
      <c r="C59" s="56" t="s">
        <v>278</v>
      </c>
      <c r="D59" s="112"/>
      <c r="E59" s="56"/>
      <c r="F59" s="75">
        <v>4</v>
      </c>
      <c r="G59" s="53" t="s">
        <v>284</v>
      </c>
      <c r="H59" s="112">
        <v>69</v>
      </c>
      <c r="I59" s="70" t="s">
        <v>110</v>
      </c>
      <c r="J59" s="56"/>
      <c r="K59" s="56">
        <v>2015</v>
      </c>
      <c r="L59" s="56"/>
      <c r="M59" s="51" t="s">
        <v>112</v>
      </c>
      <c r="N59" s="52"/>
    </row>
    <row r="60" spans="1:14" x14ac:dyDescent="0.25">
      <c r="A60" s="15"/>
      <c r="B60" s="34"/>
      <c r="C60" s="34"/>
      <c r="D60" s="113"/>
      <c r="E60" s="34"/>
      <c r="F60" s="113"/>
      <c r="G60" s="34"/>
      <c r="H60" s="113"/>
      <c r="I60" s="34"/>
      <c r="J60" s="34"/>
      <c r="K60" s="34"/>
      <c r="L60" s="34"/>
      <c r="M60" s="12"/>
      <c r="N60" s="13"/>
    </row>
    <row r="61" spans="1:14" x14ac:dyDescent="0.25">
      <c r="A61" s="24" t="s">
        <v>330</v>
      </c>
      <c r="B61" s="111"/>
      <c r="C61" s="20"/>
      <c r="D61" s="111"/>
      <c r="E61" s="20"/>
      <c r="F61" s="111"/>
      <c r="G61" s="20"/>
      <c r="H61" s="111"/>
      <c r="I61" s="20"/>
      <c r="J61" s="20"/>
      <c r="K61" s="20"/>
      <c r="L61" s="20"/>
      <c r="M61" s="21"/>
      <c r="N61" s="22"/>
    </row>
    <row r="62" spans="1:14" x14ac:dyDescent="0.25">
      <c r="A62" s="15" t="s">
        <v>336</v>
      </c>
      <c r="B62" s="118">
        <v>800</v>
      </c>
      <c r="C62" s="246" t="s">
        <v>339</v>
      </c>
      <c r="D62" s="179"/>
      <c r="E62" s="34"/>
      <c r="F62" s="263">
        <f>24/B62*100</f>
        <v>3</v>
      </c>
      <c r="G62" s="34" t="s">
        <v>284</v>
      </c>
      <c r="H62" s="113">
        <v>80</v>
      </c>
      <c r="I62" s="34" t="s">
        <v>57</v>
      </c>
      <c r="J62" s="34" t="s">
        <v>327</v>
      </c>
      <c r="K62" s="34">
        <v>2020</v>
      </c>
      <c r="L62" s="34"/>
      <c r="M62" s="40" t="s">
        <v>155</v>
      </c>
      <c r="N62" s="13"/>
    </row>
    <row r="63" spans="1:14" x14ac:dyDescent="0.25">
      <c r="A63" s="49" t="s">
        <v>334</v>
      </c>
      <c r="B63" s="109">
        <v>600</v>
      </c>
      <c r="C63" s="56" t="s">
        <v>339</v>
      </c>
      <c r="D63" s="79"/>
      <c r="E63" s="70"/>
      <c r="F63" s="75">
        <f>20/B63*100</f>
        <v>3.3333333333333335</v>
      </c>
      <c r="G63" s="70" t="s">
        <v>284</v>
      </c>
      <c r="H63" s="73">
        <v>80</v>
      </c>
      <c r="I63" s="50" t="s">
        <v>57</v>
      </c>
      <c r="J63" s="50" t="s">
        <v>327</v>
      </c>
      <c r="K63" s="50">
        <v>2030</v>
      </c>
      <c r="L63" s="50"/>
      <c r="M63" s="51" t="s">
        <v>155</v>
      </c>
      <c r="N63" s="52"/>
    </row>
    <row r="64" spans="1:14" x14ac:dyDescent="0.25">
      <c r="A64" s="49" t="s">
        <v>335</v>
      </c>
      <c r="B64" s="109">
        <v>500</v>
      </c>
      <c r="C64" s="56" t="s">
        <v>339</v>
      </c>
      <c r="D64" s="73"/>
      <c r="E64" s="50"/>
      <c r="F64" s="75"/>
      <c r="G64" s="53"/>
      <c r="H64" s="112"/>
      <c r="I64" s="70"/>
      <c r="J64" s="50"/>
      <c r="K64" s="56">
        <v>2050</v>
      </c>
      <c r="L64" s="56"/>
      <c r="M64" s="51" t="s">
        <v>331</v>
      </c>
      <c r="N64" s="52"/>
    </row>
    <row r="65" spans="1:14" x14ac:dyDescent="0.25">
      <c r="A65" s="49"/>
      <c r="B65" s="115"/>
      <c r="C65" s="56"/>
      <c r="D65" s="112"/>
      <c r="E65" s="56"/>
      <c r="F65" s="75"/>
      <c r="G65" s="53"/>
      <c r="H65" s="112"/>
      <c r="I65" s="70"/>
      <c r="J65" s="56"/>
      <c r="K65" s="56"/>
      <c r="L65" s="56"/>
      <c r="M65" s="51"/>
      <c r="N65" s="52"/>
    </row>
    <row r="66" spans="1:14" x14ac:dyDescent="0.25">
      <c r="A66" s="49" t="s">
        <v>55</v>
      </c>
      <c r="B66" s="115">
        <f>845*USDEUR</f>
        <v>760.5</v>
      </c>
      <c r="C66" s="56" t="s">
        <v>339</v>
      </c>
      <c r="D66" s="112">
        <v>1.2999999999999999E-2</v>
      </c>
      <c r="E66" s="56" t="s">
        <v>342</v>
      </c>
      <c r="F66" s="75">
        <v>4</v>
      </c>
      <c r="G66" s="53" t="s">
        <v>284</v>
      </c>
      <c r="H66" s="112">
        <v>77</v>
      </c>
      <c r="I66" s="70" t="s">
        <v>57</v>
      </c>
      <c r="J66" s="50" t="s">
        <v>327</v>
      </c>
      <c r="K66" s="56">
        <v>2019</v>
      </c>
      <c r="L66" s="56"/>
      <c r="M66" s="51" t="s">
        <v>332</v>
      </c>
      <c r="N66" s="52"/>
    </row>
    <row r="67" spans="1:14" x14ac:dyDescent="0.25">
      <c r="A67" s="49" t="s">
        <v>334</v>
      </c>
      <c r="B67" s="115">
        <f>735*USDEUR</f>
        <v>661.5</v>
      </c>
      <c r="C67" s="56" t="s">
        <v>339</v>
      </c>
      <c r="D67" s="112">
        <v>1.2999999999999999E-2</v>
      </c>
      <c r="E67" s="56" t="s">
        <v>342</v>
      </c>
      <c r="F67" s="75">
        <v>4</v>
      </c>
      <c r="G67" s="53" t="s">
        <v>284</v>
      </c>
      <c r="H67" s="112">
        <v>77</v>
      </c>
      <c r="I67" s="70" t="s">
        <v>57</v>
      </c>
      <c r="J67" s="50"/>
      <c r="K67" s="50">
        <v>2030</v>
      </c>
      <c r="L67" s="56"/>
      <c r="M67" s="51" t="s">
        <v>332</v>
      </c>
      <c r="N67" s="52"/>
    </row>
    <row r="68" spans="1:14" x14ac:dyDescent="0.25">
      <c r="A68" s="49" t="s">
        <v>335</v>
      </c>
      <c r="B68" s="115">
        <f>565*USDEUR</f>
        <v>508.5</v>
      </c>
      <c r="C68" s="56" t="s">
        <v>339</v>
      </c>
      <c r="D68" s="112">
        <v>1.2999999999999999E-2</v>
      </c>
      <c r="E68" s="56" t="s">
        <v>342</v>
      </c>
      <c r="F68" s="75">
        <v>4</v>
      </c>
      <c r="G68" s="53" t="s">
        <v>284</v>
      </c>
      <c r="H68" s="112">
        <v>77</v>
      </c>
      <c r="I68" s="70" t="s">
        <v>57</v>
      </c>
      <c r="J68" s="50"/>
      <c r="K68" s="56">
        <v>2050</v>
      </c>
      <c r="L68" s="56"/>
      <c r="M68" s="51"/>
      <c r="N68" s="52"/>
    </row>
    <row r="69" spans="1:14" x14ac:dyDescent="0.25">
      <c r="A69" s="49"/>
      <c r="B69" s="115"/>
      <c r="C69" s="56"/>
      <c r="D69" s="112"/>
      <c r="E69" s="56"/>
      <c r="F69" s="75"/>
      <c r="G69" s="53"/>
      <c r="H69" s="112"/>
      <c r="I69" s="70"/>
      <c r="J69" s="50"/>
      <c r="K69" s="56"/>
      <c r="L69" s="56"/>
      <c r="M69" s="51"/>
      <c r="N69" s="52"/>
    </row>
    <row r="70" spans="1:14" x14ac:dyDescent="0.25">
      <c r="A70" s="49" t="s">
        <v>54</v>
      </c>
      <c r="B70" s="115">
        <v>500</v>
      </c>
      <c r="C70" s="56" t="s">
        <v>339</v>
      </c>
      <c r="D70" s="112"/>
      <c r="E70" s="56"/>
      <c r="F70" s="75">
        <v>3</v>
      </c>
      <c r="G70" s="53" t="s">
        <v>284</v>
      </c>
      <c r="H70" s="112">
        <v>80</v>
      </c>
      <c r="I70" s="70" t="s">
        <v>57</v>
      </c>
      <c r="J70" s="56"/>
      <c r="K70" s="56">
        <v>2018</v>
      </c>
      <c r="L70" s="56"/>
      <c r="M70" s="51" t="s">
        <v>333</v>
      </c>
      <c r="N70" s="52"/>
    </row>
    <row r="71" spans="1:14" x14ac:dyDescent="0.25">
      <c r="A71" s="49" t="s">
        <v>56</v>
      </c>
      <c r="B71" s="115">
        <v>2750</v>
      </c>
      <c r="C71" s="56" t="s">
        <v>339</v>
      </c>
      <c r="D71" s="112"/>
      <c r="E71" s="56"/>
      <c r="F71" s="75">
        <v>3</v>
      </c>
      <c r="G71" s="53" t="s">
        <v>284</v>
      </c>
      <c r="H71" s="112">
        <v>80</v>
      </c>
      <c r="I71" s="70" t="s">
        <v>57</v>
      </c>
      <c r="J71" s="56"/>
      <c r="K71" s="56">
        <v>2018</v>
      </c>
      <c r="L71" s="56"/>
      <c r="M71" s="51" t="s">
        <v>333</v>
      </c>
      <c r="N71" s="52"/>
    </row>
    <row r="72" spans="1:14" x14ac:dyDescent="0.25">
      <c r="A72" s="49"/>
      <c r="B72" s="115"/>
      <c r="C72" s="56"/>
      <c r="D72" s="112"/>
      <c r="E72" s="56"/>
      <c r="F72" s="75"/>
      <c r="G72" s="53"/>
      <c r="H72" s="112"/>
      <c r="I72" s="70"/>
      <c r="J72" s="56"/>
      <c r="K72" s="56"/>
      <c r="L72" s="56"/>
      <c r="M72" s="51"/>
      <c r="N72" s="52"/>
    </row>
    <row r="73" spans="1:14" x14ac:dyDescent="0.25">
      <c r="A73" s="49"/>
      <c r="B73" s="115"/>
      <c r="C73" s="56"/>
      <c r="D73" s="112"/>
      <c r="E73" s="56"/>
      <c r="F73" s="75"/>
      <c r="G73" s="53"/>
      <c r="H73" s="112"/>
      <c r="I73" s="70"/>
      <c r="J73" s="56"/>
      <c r="K73" s="56"/>
      <c r="L73" s="56"/>
      <c r="M73" s="51"/>
      <c r="N73" s="52"/>
    </row>
    <row r="74" spans="1:14" ht="45" x14ac:dyDescent="0.25">
      <c r="A74" s="49" t="s">
        <v>337</v>
      </c>
      <c r="B74" s="115">
        <v>1800</v>
      </c>
      <c r="C74" s="56" t="s">
        <v>339</v>
      </c>
      <c r="D74" s="112">
        <f>0.9/3.6</f>
        <v>0.25</v>
      </c>
      <c r="E74" s="56" t="s">
        <v>340</v>
      </c>
      <c r="F74" s="75">
        <v>4</v>
      </c>
      <c r="G74" s="53" t="s">
        <v>284</v>
      </c>
      <c r="H74" s="112"/>
      <c r="I74" s="70"/>
      <c r="J74" s="264" t="s">
        <v>327</v>
      </c>
      <c r="K74" s="56">
        <v>2018</v>
      </c>
      <c r="L74" s="56"/>
      <c r="M74" s="51" t="s">
        <v>333</v>
      </c>
      <c r="N74" s="52" t="s">
        <v>341</v>
      </c>
    </row>
    <row r="75" spans="1:14" x14ac:dyDescent="0.25">
      <c r="A75" s="49" t="s">
        <v>338</v>
      </c>
      <c r="B75" s="115">
        <v>1278</v>
      </c>
      <c r="C75" s="56" t="s">
        <v>339</v>
      </c>
      <c r="D75" s="112">
        <f>0.9/3.6</f>
        <v>0.25</v>
      </c>
      <c r="E75" s="56" t="s">
        <v>340</v>
      </c>
      <c r="F75" s="75">
        <v>4</v>
      </c>
      <c r="G75" s="53" t="s">
        <v>284</v>
      </c>
      <c r="H75" s="112"/>
      <c r="I75" s="70"/>
      <c r="J75" s="264" t="s">
        <v>327</v>
      </c>
      <c r="K75" s="56">
        <v>2050</v>
      </c>
      <c r="L75" s="56"/>
      <c r="M75" s="51" t="s">
        <v>333</v>
      </c>
      <c r="N75" s="52"/>
    </row>
    <row r="76" spans="1:14" x14ac:dyDescent="0.25">
      <c r="A76" s="49"/>
      <c r="B76" s="115"/>
      <c r="C76" s="56"/>
      <c r="D76" s="112"/>
      <c r="E76" s="56"/>
      <c r="F76" s="75"/>
      <c r="G76" s="53"/>
      <c r="H76" s="112"/>
      <c r="I76" s="70"/>
      <c r="J76" s="56"/>
      <c r="K76" s="56"/>
      <c r="L76" s="56"/>
      <c r="M76" s="51"/>
      <c r="N76" s="52"/>
    </row>
    <row r="77" spans="1:14" x14ac:dyDescent="0.25">
      <c r="A77" s="24" t="s">
        <v>351</v>
      </c>
      <c r="B77" s="111"/>
      <c r="C77" s="20"/>
      <c r="D77" s="111"/>
      <c r="E77" s="20"/>
      <c r="F77" s="111"/>
      <c r="G77" s="20"/>
      <c r="H77" s="111"/>
      <c r="I77" s="20"/>
      <c r="J77" s="20"/>
      <c r="K77" s="20"/>
      <c r="L77" s="20"/>
      <c r="M77" s="21"/>
      <c r="N77" s="22"/>
    </row>
    <row r="78" spans="1:14" x14ac:dyDescent="0.25">
      <c r="A78" s="15" t="s">
        <v>54</v>
      </c>
      <c r="B78" s="118">
        <f>500*USDEUR</f>
        <v>450</v>
      </c>
      <c r="C78" s="247" t="s">
        <v>297</v>
      </c>
      <c r="D78" s="269">
        <f>'Conversion factors'!$F$36/('3. Conversion'!H78/100)</f>
        <v>52.892416225749557</v>
      </c>
      <c r="E78" s="34" t="s">
        <v>352</v>
      </c>
      <c r="F78" s="269"/>
      <c r="G78" s="34"/>
      <c r="H78" s="269">
        <v>63</v>
      </c>
      <c r="I78" s="34" t="s">
        <v>57</v>
      </c>
      <c r="J78" s="268"/>
      <c r="K78" s="34">
        <v>2019</v>
      </c>
      <c r="L78" s="34"/>
      <c r="M78" s="40" t="s">
        <v>354</v>
      </c>
      <c r="N78" s="13"/>
    </row>
    <row r="79" spans="1:14" x14ac:dyDescent="0.25">
      <c r="A79" s="49" t="s">
        <v>56</v>
      </c>
      <c r="B79" s="109">
        <f>1400*USDEUR</f>
        <v>1260</v>
      </c>
      <c r="C79" s="56" t="s">
        <v>297</v>
      </c>
      <c r="D79" s="75">
        <f>'Conversion factors'!$F$36/('3. Conversion'!H79/100)</f>
        <v>47.603174603174608</v>
      </c>
      <c r="E79" s="70" t="s">
        <v>352</v>
      </c>
      <c r="F79" s="75"/>
      <c r="G79" s="70"/>
      <c r="H79" s="75">
        <v>70</v>
      </c>
      <c r="I79" s="50" t="s">
        <v>57</v>
      </c>
      <c r="J79" s="50"/>
      <c r="K79" s="50">
        <v>2019</v>
      </c>
      <c r="L79" s="50"/>
      <c r="M79" s="51" t="s">
        <v>354</v>
      </c>
      <c r="N79" s="52"/>
    </row>
    <row r="80" spans="1:14" ht="30" x14ac:dyDescent="0.25">
      <c r="A80" s="15" t="s">
        <v>347</v>
      </c>
      <c r="B80" s="118">
        <v>700</v>
      </c>
      <c r="C80" s="246" t="s">
        <v>297</v>
      </c>
      <c r="D80" s="269">
        <v>52</v>
      </c>
      <c r="E80" s="34" t="s">
        <v>352</v>
      </c>
      <c r="F80" s="269">
        <v>2</v>
      </c>
      <c r="G80" s="34" t="s">
        <v>284</v>
      </c>
      <c r="H80" s="269">
        <f>'Conversion factors'!$F$36/'3. Conversion'!D80*100</f>
        <v>64.081196581196593</v>
      </c>
      <c r="I80" s="34" t="s">
        <v>57</v>
      </c>
      <c r="J80" s="268" t="s">
        <v>327</v>
      </c>
      <c r="K80" s="34">
        <v>2020</v>
      </c>
      <c r="L80" s="34"/>
      <c r="M80" s="40" t="s">
        <v>155</v>
      </c>
      <c r="N80" s="13" t="s">
        <v>353</v>
      </c>
    </row>
    <row r="81" spans="1:14" ht="30" x14ac:dyDescent="0.25">
      <c r="A81" s="49" t="s">
        <v>348</v>
      </c>
      <c r="B81" s="109">
        <v>621</v>
      </c>
      <c r="C81" s="56" t="s">
        <v>297</v>
      </c>
      <c r="D81" s="75">
        <v>49</v>
      </c>
      <c r="E81" s="70" t="s">
        <v>352</v>
      </c>
      <c r="F81" s="75">
        <v>2</v>
      </c>
      <c r="G81" s="70" t="s">
        <v>284</v>
      </c>
      <c r="H81" s="75">
        <f>'Conversion factors'!$F$36/'3. Conversion'!D81*100</f>
        <v>68.004535147392289</v>
      </c>
      <c r="I81" s="50" t="s">
        <v>57</v>
      </c>
      <c r="J81" s="50"/>
      <c r="K81" s="50">
        <v>2030</v>
      </c>
      <c r="L81" s="50"/>
      <c r="M81" s="51" t="s">
        <v>155</v>
      </c>
      <c r="N81" s="52" t="s">
        <v>353</v>
      </c>
    </row>
    <row r="82" spans="1:14" ht="30" x14ac:dyDescent="0.25">
      <c r="A82" s="49" t="s">
        <v>349</v>
      </c>
      <c r="B82" s="109">
        <v>539</v>
      </c>
      <c r="C82" s="56" t="s">
        <v>297</v>
      </c>
      <c r="D82" s="75">
        <v>48</v>
      </c>
      <c r="E82" s="50" t="s">
        <v>352</v>
      </c>
      <c r="F82" s="75">
        <v>2</v>
      </c>
      <c r="G82" s="53" t="s">
        <v>284</v>
      </c>
      <c r="H82" s="271">
        <f>'Conversion factors'!$F$36/'3. Conversion'!D82*100</f>
        <v>69.421296296296305</v>
      </c>
      <c r="I82" s="70" t="s">
        <v>57</v>
      </c>
      <c r="J82" s="50"/>
      <c r="K82" s="56">
        <v>2040</v>
      </c>
      <c r="L82" s="56"/>
      <c r="M82" s="51" t="s">
        <v>155</v>
      </c>
      <c r="N82" s="52" t="s">
        <v>353</v>
      </c>
    </row>
    <row r="83" spans="1:14" ht="30" x14ac:dyDescent="0.25">
      <c r="A83" s="49" t="s">
        <v>350</v>
      </c>
      <c r="B83" s="115">
        <v>497</v>
      </c>
      <c r="C83" s="56" t="s">
        <v>297</v>
      </c>
      <c r="D83" s="271">
        <v>47</v>
      </c>
      <c r="E83" s="56" t="s">
        <v>352</v>
      </c>
      <c r="F83" s="75">
        <v>2</v>
      </c>
      <c r="G83" s="53" t="s">
        <v>284</v>
      </c>
      <c r="H83" s="271">
        <f>'Conversion factors'!$F$36/'3. Conversion'!D83*100</f>
        <v>70.898345153664295</v>
      </c>
      <c r="I83" s="70" t="s">
        <v>57</v>
      </c>
      <c r="J83" s="56"/>
      <c r="K83" s="56">
        <v>2050</v>
      </c>
      <c r="L83" s="56"/>
      <c r="M83" s="51" t="s">
        <v>155</v>
      </c>
      <c r="N83" s="52" t="s">
        <v>353</v>
      </c>
    </row>
    <row r="84" spans="1:14" x14ac:dyDescent="0.25">
      <c r="A84" s="49"/>
      <c r="B84" s="115"/>
      <c r="C84" s="56"/>
      <c r="D84" s="112"/>
      <c r="E84" s="56"/>
      <c r="F84" s="75"/>
      <c r="G84" s="53"/>
      <c r="H84" s="112"/>
      <c r="I84" s="70"/>
      <c r="J84" s="50"/>
      <c r="K84" s="56"/>
      <c r="L84" s="56"/>
      <c r="M84" s="51"/>
      <c r="N84" s="52"/>
    </row>
    <row r="85" spans="1:14" x14ac:dyDescent="0.25">
      <c r="A85" s="24" t="s">
        <v>343</v>
      </c>
      <c r="B85" s="111"/>
      <c r="C85" s="20"/>
      <c r="D85" s="111"/>
      <c r="E85" s="20"/>
      <c r="F85" s="111"/>
      <c r="G85" s="20"/>
      <c r="H85" s="111"/>
      <c r="I85" s="20"/>
      <c r="J85" s="20"/>
      <c r="K85" s="20"/>
      <c r="L85" s="20"/>
      <c r="M85" s="21"/>
      <c r="N85" s="22"/>
    </row>
    <row r="86" spans="1:14" x14ac:dyDescent="0.25">
      <c r="A86" s="15" t="s">
        <v>54</v>
      </c>
      <c r="B86" s="118">
        <f>1100*USDEUR</f>
        <v>990</v>
      </c>
      <c r="C86" s="247" t="s">
        <v>297</v>
      </c>
      <c r="D86" s="269">
        <f>'Conversion factors'!$F$36/('3. Conversion'!H86/100)</f>
        <v>59.503968253968246</v>
      </c>
      <c r="E86" s="34" t="s">
        <v>352</v>
      </c>
      <c r="F86" s="269"/>
      <c r="G86" s="34"/>
      <c r="H86" s="269">
        <v>56</v>
      </c>
      <c r="I86" s="34" t="s">
        <v>57</v>
      </c>
      <c r="J86" s="268"/>
      <c r="K86" s="34">
        <v>2019</v>
      </c>
      <c r="L86" s="34"/>
      <c r="M86" s="40" t="s">
        <v>354</v>
      </c>
      <c r="N86" s="13"/>
    </row>
    <row r="87" spans="1:14" x14ac:dyDescent="0.25">
      <c r="A87" s="49" t="s">
        <v>56</v>
      </c>
      <c r="B87" s="109">
        <f>1800*USDEUR</f>
        <v>1620</v>
      </c>
      <c r="C87" s="56" t="s">
        <v>297</v>
      </c>
      <c r="D87" s="75">
        <f>'Conversion factors'!$F$36/('3. Conversion'!H87/100)</f>
        <v>55.537037037037038</v>
      </c>
      <c r="E87" s="70" t="s">
        <v>352</v>
      </c>
      <c r="F87" s="75"/>
      <c r="G87" s="70"/>
      <c r="H87" s="75">
        <v>60</v>
      </c>
      <c r="I87" s="50" t="s">
        <v>57</v>
      </c>
      <c r="J87" s="50"/>
      <c r="K87" s="50">
        <v>2019</v>
      </c>
      <c r="L87" s="50"/>
      <c r="M87" s="51" t="s">
        <v>354</v>
      </c>
      <c r="N87" s="52"/>
    </row>
    <row r="88" spans="1:14" ht="30" x14ac:dyDescent="0.25">
      <c r="A88" s="49" t="s">
        <v>347</v>
      </c>
      <c r="B88" s="115">
        <v>1160</v>
      </c>
      <c r="C88" s="56" t="s">
        <v>297</v>
      </c>
      <c r="D88" s="271">
        <v>55</v>
      </c>
      <c r="E88" s="56" t="s">
        <v>352</v>
      </c>
      <c r="F88" s="75">
        <v>2</v>
      </c>
      <c r="G88" s="53" t="s">
        <v>284</v>
      </c>
      <c r="H88" s="271">
        <f>'Conversion factors'!$F$36/'3. Conversion'!D88*100</f>
        <v>60.585858585858588</v>
      </c>
      <c r="I88" s="70" t="s">
        <v>57</v>
      </c>
      <c r="J88" s="50">
        <v>8</v>
      </c>
      <c r="K88" s="56">
        <v>2020</v>
      </c>
      <c r="L88" s="56"/>
      <c r="M88" s="51" t="s">
        <v>155</v>
      </c>
      <c r="N88" s="52" t="s">
        <v>353</v>
      </c>
    </row>
    <row r="89" spans="1:14" ht="30" x14ac:dyDescent="0.25">
      <c r="A89" s="49" t="s">
        <v>348</v>
      </c>
      <c r="B89" s="115">
        <v>663</v>
      </c>
      <c r="C89" s="56" t="s">
        <v>297</v>
      </c>
      <c r="D89" s="271">
        <v>50</v>
      </c>
      <c r="E89" s="56" t="s">
        <v>352</v>
      </c>
      <c r="F89" s="75">
        <v>2</v>
      </c>
      <c r="G89" s="53" t="s">
        <v>284</v>
      </c>
      <c r="H89" s="271">
        <f>'Conversion factors'!$F$36/'3. Conversion'!D89*100</f>
        <v>66.644444444444446</v>
      </c>
      <c r="I89" s="70" t="s">
        <v>57</v>
      </c>
      <c r="J89" s="50"/>
      <c r="K89" s="56">
        <v>2030</v>
      </c>
      <c r="L89" s="56"/>
      <c r="M89" s="51" t="s">
        <v>155</v>
      </c>
      <c r="N89" s="52" t="s">
        <v>353</v>
      </c>
    </row>
    <row r="90" spans="1:14" ht="30" x14ac:dyDescent="0.25">
      <c r="A90" s="49" t="s">
        <v>349</v>
      </c>
      <c r="B90" s="115">
        <v>497</v>
      </c>
      <c r="C90" s="56" t="s">
        <v>297</v>
      </c>
      <c r="D90" s="271">
        <v>48</v>
      </c>
      <c r="E90" s="56" t="s">
        <v>352</v>
      </c>
      <c r="F90" s="75">
        <v>2</v>
      </c>
      <c r="G90" s="53" t="s">
        <v>284</v>
      </c>
      <c r="H90" s="271">
        <f>'Conversion factors'!$F$36/'3. Conversion'!D90*100</f>
        <v>69.421296296296305</v>
      </c>
      <c r="I90" s="70" t="s">
        <v>57</v>
      </c>
      <c r="J90" s="56"/>
      <c r="K90" s="56">
        <v>2040</v>
      </c>
      <c r="L90" s="56"/>
      <c r="M90" s="51" t="s">
        <v>155</v>
      </c>
      <c r="N90" s="52" t="s">
        <v>353</v>
      </c>
    </row>
    <row r="91" spans="1:14" ht="30" x14ac:dyDescent="0.25">
      <c r="A91" s="49" t="s">
        <v>350</v>
      </c>
      <c r="B91" s="115">
        <v>414</v>
      </c>
      <c r="C91" s="56" t="s">
        <v>297</v>
      </c>
      <c r="D91" s="271">
        <v>47</v>
      </c>
      <c r="E91" s="56" t="s">
        <v>352</v>
      </c>
      <c r="F91" s="75">
        <v>2</v>
      </c>
      <c r="G91" s="53" t="s">
        <v>284</v>
      </c>
      <c r="H91" s="271">
        <f>'Conversion factors'!$F$36/'3. Conversion'!D91*100</f>
        <v>70.898345153664295</v>
      </c>
      <c r="I91" s="70" t="s">
        <v>57</v>
      </c>
      <c r="J91" s="56"/>
      <c r="K91" s="56">
        <v>2050</v>
      </c>
      <c r="L91" s="56"/>
      <c r="M91" s="51" t="s">
        <v>155</v>
      </c>
      <c r="N91" s="52" t="s">
        <v>353</v>
      </c>
    </row>
    <row r="92" spans="1:14" x14ac:dyDescent="0.25">
      <c r="A92" s="24" t="s">
        <v>355</v>
      </c>
      <c r="B92" s="111"/>
      <c r="C92" s="20"/>
      <c r="D92" s="111"/>
      <c r="E92" s="20"/>
      <c r="F92" s="111"/>
      <c r="G92" s="20"/>
      <c r="H92" s="111"/>
      <c r="I92" s="20"/>
      <c r="J92" s="20"/>
      <c r="K92" s="20"/>
      <c r="L92" s="20"/>
      <c r="M92" s="21"/>
      <c r="N92" s="22"/>
    </row>
    <row r="93" spans="1:14" x14ac:dyDescent="0.25">
      <c r="A93" s="15" t="s">
        <v>54</v>
      </c>
      <c r="B93" s="118">
        <f>2800*USDEUR</f>
        <v>2520</v>
      </c>
      <c r="C93" s="247" t="s">
        <v>297</v>
      </c>
      <c r="D93" s="269">
        <f>'Conversion factors'!$F$36/('3. Conversion'!H93/100)</f>
        <v>45.030030030030034</v>
      </c>
      <c r="E93" s="34" t="s">
        <v>352</v>
      </c>
      <c r="F93" s="269"/>
      <c r="G93" s="34"/>
      <c r="H93" s="269">
        <v>74</v>
      </c>
      <c r="I93" s="34" t="s">
        <v>57</v>
      </c>
      <c r="J93" s="268"/>
      <c r="K93" s="34">
        <v>2019</v>
      </c>
      <c r="L93" s="34"/>
      <c r="M93" s="40" t="s">
        <v>354</v>
      </c>
      <c r="N93" s="13"/>
    </row>
    <row r="94" spans="1:14" x14ac:dyDescent="0.25">
      <c r="A94" s="49" t="s">
        <v>56</v>
      </c>
      <c r="B94" s="109">
        <f>5600*USDEUR</f>
        <v>5040</v>
      </c>
      <c r="C94" s="56" t="s">
        <v>297</v>
      </c>
      <c r="D94" s="75">
        <f>'Conversion factors'!$F$36/('3. Conversion'!H94/100)</f>
        <v>41.138545953360769</v>
      </c>
      <c r="E94" s="70" t="s">
        <v>352</v>
      </c>
      <c r="F94" s="75"/>
      <c r="G94" s="70"/>
      <c r="H94" s="75">
        <v>81</v>
      </c>
      <c r="I94" s="50" t="s">
        <v>57</v>
      </c>
      <c r="J94" s="50"/>
      <c r="K94" s="50">
        <v>2019</v>
      </c>
      <c r="L94" s="50"/>
      <c r="M94" s="51" t="s">
        <v>354</v>
      </c>
      <c r="N94" s="52"/>
    </row>
    <row r="95" spans="1:14" x14ac:dyDescent="0.25">
      <c r="A95" s="49"/>
      <c r="B95" s="115"/>
      <c r="C95" s="56"/>
      <c r="D95" s="271"/>
      <c r="E95" s="56"/>
      <c r="F95" s="75"/>
      <c r="G95" s="53"/>
      <c r="H95" s="271"/>
      <c r="I95" s="70"/>
      <c r="J95" s="50" t="s">
        <v>356</v>
      </c>
      <c r="K95" s="56"/>
      <c r="L95" s="56"/>
      <c r="M95" s="51" t="s">
        <v>357</v>
      </c>
      <c r="N95" s="52"/>
    </row>
    <row r="96" spans="1:14" x14ac:dyDescent="0.25">
      <c r="A96" s="49" t="s">
        <v>336</v>
      </c>
      <c r="B96" s="115">
        <v>3083</v>
      </c>
      <c r="C96" s="56" t="s">
        <v>297</v>
      </c>
      <c r="D96" s="271">
        <f>'Conversion factors'!$F$36/('3. Conversion'!H96/100)</f>
        <v>40.986333333333334</v>
      </c>
      <c r="E96" s="56" t="s">
        <v>352</v>
      </c>
      <c r="F96" s="75" t="s">
        <v>358</v>
      </c>
      <c r="G96" s="53" t="s">
        <v>284</v>
      </c>
      <c r="H96" s="271">
        <f>1/1.23*100</f>
        <v>81.300813008130078</v>
      </c>
      <c r="I96" s="50" t="s">
        <v>57</v>
      </c>
      <c r="J96" s="50">
        <v>5</v>
      </c>
      <c r="K96" s="56">
        <v>2018</v>
      </c>
      <c r="L96" s="56"/>
      <c r="M96" s="51" t="s">
        <v>359</v>
      </c>
      <c r="N96" s="52" t="s">
        <v>360</v>
      </c>
    </row>
    <row r="97" spans="1:14" x14ac:dyDescent="0.25">
      <c r="A97" s="49" t="s">
        <v>348</v>
      </c>
      <c r="B97" s="115">
        <v>1706</v>
      </c>
      <c r="C97" s="56" t="s">
        <v>297</v>
      </c>
      <c r="D97" s="271">
        <f>'Conversion factors'!$F$36/('3. Conversion'!H97/100)</f>
        <v>37.654111111111114</v>
      </c>
      <c r="E97" s="56" t="s">
        <v>352</v>
      </c>
      <c r="F97" s="75" t="s">
        <v>358</v>
      </c>
      <c r="G97" s="53" t="s">
        <v>284</v>
      </c>
      <c r="H97" s="271">
        <f>1/1.13*100</f>
        <v>88.495575221238937</v>
      </c>
      <c r="I97" s="50" t="s">
        <v>57</v>
      </c>
      <c r="J97" s="56"/>
      <c r="K97" s="56">
        <v>2030</v>
      </c>
      <c r="L97" s="56"/>
      <c r="M97" s="51" t="s">
        <v>359</v>
      </c>
      <c r="N97" s="52" t="s">
        <v>360</v>
      </c>
    </row>
    <row r="98" spans="1:14" x14ac:dyDescent="0.25">
      <c r="A98" s="49" t="s">
        <v>350</v>
      </c>
      <c r="B98" s="115">
        <v>1248</v>
      </c>
      <c r="C98" s="56" t="s">
        <v>297</v>
      </c>
      <c r="D98" s="271">
        <f>'Conversion factors'!$F$36/('3. Conversion'!H98/100)</f>
        <v>37.654111111111114</v>
      </c>
      <c r="E98" s="56" t="s">
        <v>352</v>
      </c>
      <c r="F98" s="75" t="s">
        <v>358</v>
      </c>
      <c r="G98" s="53" t="s">
        <v>284</v>
      </c>
      <c r="H98" s="271">
        <f>1/1.13*100</f>
        <v>88.495575221238937</v>
      </c>
      <c r="I98" s="50" t="s">
        <v>57</v>
      </c>
      <c r="J98" s="56"/>
      <c r="K98" s="56">
        <v>2050</v>
      </c>
      <c r="L98" s="56"/>
      <c r="M98" s="51" t="s">
        <v>359</v>
      </c>
      <c r="N98" s="52" t="s">
        <v>360</v>
      </c>
    </row>
  </sheetData>
  <dataConsolidate/>
  <phoneticPr fontId="4" type="noConversion"/>
  <hyperlinks>
    <hyperlink ref="M29" r:id="rId1" location="anchor_releaseunit_sseries" xr:uid="{4B73FE89-C714-4A74-B062-FBA4AB1292FF}"/>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E2CE-B2E7-4B59-80A1-B031E42356C4}">
  <dimension ref="A3:Q50"/>
  <sheetViews>
    <sheetView showGridLines="0" zoomScale="55" zoomScaleNormal="55" workbookViewId="0">
      <pane ySplit="4" topLeftCell="A5" activePane="bottomLeft" state="frozen"/>
      <selection pane="bottomLeft" activeCell="A3" sqref="A3"/>
    </sheetView>
  </sheetViews>
  <sheetFormatPr defaultColWidth="0" defaultRowHeight="15" x14ac:dyDescent="0.25"/>
  <cols>
    <col min="1" max="1" width="63.140625" customWidth="1"/>
    <col min="2" max="2" width="14.7109375" bestFit="1" customWidth="1"/>
    <col min="3" max="3" width="16.42578125" bestFit="1" customWidth="1"/>
    <col min="4" max="4" width="20.28515625" style="148" customWidth="1"/>
    <col min="5" max="5" width="18.28515625" bestFit="1" customWidth="1"/>
    <col min="6" max="6" width="18.28515625" style="148" customWidth="1"/>
    <col min="7" max="7" width="18.28515625" customWidth="1"/>
    <col min="8" max="8" width="11.42578125" customWidth="1"/>
    <col min="9" max="11" width="9.140625" customWidth="1"/>
    <col min="12" max="12" width="21.5703125" customWidth="1"/>
    <col min="13" max="13" width="14" style="65" customWidth="1"/>
    <col min="14" max="14" width="63.5703125" customWidth="1"/>
    <col min="15" max="15" width="6.140625" bestFit="1" customWidth="1"/>
    <col min="16" max="17" width="9.140625" customWidth="1"/>
    <col min="18" max="16384" width="9.140625" hidden="1"/>
  </cols>
  <sheetData>
    <row r="3" spans="1:16" x14ac:dyDescent="0.25">
      <c r="A3" s="8"/>
    </row>
    <row r="4" spans="1:16" ht="30.75" thickBot="1" x14ac:dyDescent="0.3">
      <c r="A4" s="6" t="s">
        <v>23</v>
      </c>
      <c r="B4" s="2" t="s">
        <v>25</v>
      </c>
      <c r="C4" s="4" t="s">
        <v>31</v>
      </c>
      <c r="D4" s="173" t="s">
        <v>108</v>
      </c>
      <c r="E4" s="4" t="s">
        <v>31</v>
      </c>
      <c r="F4" s="173" t="s">
        <v>109</v>
      </c>
      <c r="G4" s="4" t="s">
        <v>31</v>
      </c>
      <c r="H4" s="322" t="s">
        <v>403</v>
      </c>
      <c r="I4" s="4" t="s">
        <v>31</v>
      </c>
      <c r="J4" s="2" t="s">
        <v>29</v>
      </c>
      <c r="K4" s="4" t="s">
        <v>32</v>
      </c>
      <c r="L4" s="2" t="s">
        <v>30</v>
      </c>
      <c r="M4" s="66" t="s">
        <v>27</v>
      </c>
      <c r="N4" s="11" t="s">
        <v>26</v>
      </c>
    </row>
    <row r="5" spans="1:16" x14ac:dyDescent="0.25">
      <c r="A5" s="16" t="s">
        <v>45</v>
      </c>
      <c r="B5" s="17"/>
      <c r="C5" s="17"/>
      <c r="D5" s="174"/>
      <c r="E5" s="17"/>
      <c r="F5" s="174"/>
      <c r="G5" s="17"/>
      <c r="H5" s="17"/>
      <c r="I5" s="17"/>
      <c r="J5" s="17"/>
      <c r="K5" s="17"/>
      <c r="L5" s="17"/>
      <c r="M5" s="67" t="s">
        <v>28</v>
      </c>
      <c r="N5" s="19" t="s">
        <v>42</v>
      </c>
    </row>
    <row r="6" spans="1:16" ht="45" x14ac:dyDescent="0.25">
      <c r="A6" s="50"/>
      <c r="B6" s="76">
        <f>(6600000*USDEUR)/(3500*'Conversion factors'!$D$47)/'Conversion factors'!$F$36*1000</f>
        <v>717.34172960403293</v>
      </c>
      <c r="C6" s="50" t="s">
        <v>156</v>
      </c>
      <c r="D6" s="73"/>
      <c r="E6" s="50"/>
      <c r="F6" s="73"/>
      <c r="G6" s="50"/>
      <c r="H6" s="58"/>
      <c r="I6" s="58"/>
      <c r="J6" s="186" t="s">
        <v>260</v>
      </c>
      <c r="K6" s="50"/>
      <c r="L6" s="50"/>
      <c r="M6" s="51" t="s">
        <v>166</v>
      </c>
      <c r="N6" s="101" t="s">
        <v>167</v>
      </c>
      <c r="O6" s="41"/>
    </row>
    <row r="7" spans="1:16" x14ac:dyDescent="0.25">
      <c r="A7" s="49"/>
      <c r="B7" s="76">
        <f>800*USDEUR</f>
        <v>720</v>
      </c>
      <c r="C7" s="50" t="s">
        <v>156</v>
      </c>
      <c r="D7" s="73"/>
      <c r="E7" s="50"/>
      <c r="F7" s="73"/>
      <c r="G7" s="50"/>
      <c r="H7" s="50"/>
      <c r="I7" s="50"/>
      <c r="J7" s="74" t="s">
        <v>260</v>
      </c>
      <c r="K7" s="50"/>
      <c r="L7" s="50"/>
      <c r="M7" s="51" t="s">
        <v>113</v>
      </c>
      <c r="N7" s="52" t="s">
        <v>171</v>
      </c>
      <c r="O7" s="41"/>
      <c r="P7" s="41"/>
    </row>
    <row r="8" spans="1:16" ht="30" x14ac:dyDescent="0.25">
      <c r="A8" s="49" t="s">
        <v>55</v>
      </c>
      <c r="B8" s="76">
        <f>25/'Conversion factors'!$F$36*1000</f>
        <v>750.25008336112035</v>
      </c>
      <c r="C8" s="50" t="s">
        <v>156</v>
      </c>
      <c r="D8" s="73"/>
      <c r="E8" s="50"/>
      <c r="F8" s="73"/>
      <c r="G8" s="50"/>
      <c r="H8" s="50">
        <v>0.03</v>
      </c>
      <c r="I8" s="53" t="s">
        <v>296</v>
      </c>
      <c r="J8" s="74" t="s">
        <v>260</v>
      </c>
      <c r="K8" s="50"/>
      <c r="L8" s="50"/>
      <c r="M8" s="51" t="s">
        <v>120</v>
      </c>
      <c r="N8" s="52" t="s">
        <v>386</v>
      </c>
    </row>
    <row r="9" spans="1:16" ht="30" x14ac:dyDescent="0.25">
      <c r="A9" s="10"/>
      <c r="B9" s="171">
        <f>25/'Conversion factors'!$F$36*1000</f>
        <v>750.25008336112035</v>
      </c>
      <c r="C9" s="126" t="s">
        <v>156</v>
      </c>
      <c r="D9" s="106"/>
      <c r="E9" s="126"/>
      <c r="F9" s="106"/>
      <c r="G9" s="126"/>
      <c r="H9" s="126">
        <v>0.1</v>
      </c>
      <c r="I9" s="53" t="s">
        <v>296</v>
      </c>
      <c r="J9" s="74" t="s">
        <v>260</v>
      </c>
      <c r="K9" s="126"/>
      <c r="L9" s="126"/>
      <c r="M9" s="51" t="s">
        <v>65</v>
      </c>
      <c r="N9" s="172" t="s">
        <v>387</v>
      </c>
    </row>
    <row r="10" spans="1:16" ht="60" x14ac:dyDescent="0.25">
      <c r="A10" s="50"/>
      <c r="B10" s="76">
        <f>(315000*NOKEUR)/1000/'Conversion factors'!$F$36*1000</f>
        <v>945.3151050350117</v>
      </c>
      <c r="C10" s="50" t="s">
        <v>156</v>
      </c>
      <c r="D10" s="73"/>
      <c r="E10" s="50"/>
      <c r="F10" s="73"/>
      <c r="G10" s="50"/>
      <c r="H10" s="58"/>
      <c r="I10" s="58"/>
      <c r="J10" s="74" t="s">
        <v>260</v>
      </c>
      <c r="K10" s="50"/>
      <c r="L10" s="50"/>
      <c r="M10" s="51" t="s">
        <v>65</v>
      </c>
      <c r="N10" s="52" t="s">
        <v>169</v>
      </c>
      <c r="O10" s="41"/>
    </row>
    <row r="11" spans="1:16" x14ac:dyDescent="0.25">
      <c r="A11" s="49"/>
      <c r="B11" s="76">
        <f>200000000/3540000/'Conversion factors'!$F$36*1000</f>
        <v>1695.4804143754134</v>
      </c>
      <c r="C11" s="50" t="s">
        <v>156</v>
      </c>
      <c r="D11" s="177"/>
      <c r="E11" s="50"/>
      <c r="F11" s="177">
        <v>2</v>
      </c>
      <c r="G11" s="50" t="s">
        <v>284</v>
      </c>
      <c r="H11" s="102">
        <f>(1-(0.87^(1/365)))*100</f>
        <v>3.8146713340714289E-2</v>
      </c>
      <c r="I11" s="53" t="s">
        <v>296</v>
      </c>
      <c r="J11" s="74" t="s">
        <v>260</v>
      </c>
      <c r="K11" s="50"/>
      <c r="L11" s="50"/>
      <c r="M11" s="51" t="s">
        <v>174</v>
      </c>
      <c r="N11" s="69" t="s">
        <v>385</v>
      </c>
      <c r="O11" s="41"/>
      <c r="P11" s="41"/>
    </row>
    <row r="12" spans="1:16" ht="60" x14ac:dyDescent="0.25">
      <c r="A12" s="50" t="s">
        <v>56</v>
      </c>
      <c r="B12" s="76">
        <f>(625000*USDEUR)/(4290*'Conversion factors'!$F$36/1000)</f>
        <v>3934.8780595862954</v>
      </c>
      <c r="C12" s="50" t="s">
        <v>156</v>
      </c>
      <c r="D12" s="73"/>
      <c r="E12" s="50"/>
      <c r="F12" s="73"/>
      <c r="G12" s="50"/>
      <c r="H12" s="58"/>
      <c r="I12" s="58"/>
      <c r="J12" s="74" t="s">
        <v>260</v>
      </c>
      <c r="K12" s="50"/>
      <c r="L12" s="50"/>
      <c r="M12" s="51" t="s">
        <v>166</v>
      </c>
      <c r="N12" s="52" t="s">
        <v>170</v>
      </c>
      <c r="O12" s="41"/>
    </row>
    <row r="13" spans="1:16" ht="30" x14ac:dyDescent="0.25">
      <c r="A13" s="49"/>
      <c r="B13" s="76"/>
      <c r="C13" s="50"/>
      <c r="D13" s="73"/>
      <c r="E13" s="50"/>
      <c r="F13" s="73"/>
      <c r="G13" s="50"/>
      <c r="H13" s="50">
        <v>0.3</v>
      </c>
      <c r="I13" s="53" t="s">
        <v>296</v>
      </c>
      <c r="J13" s="74" t="s">
        <v>260</v>
      </c>
      <c r="K13" s="50"/>
      <c r="L13" s="50"/>
      <c r="M13" s="51" t="s">
        <v>113</v>
      </c>
      <c r="N13" s="52" t="s">
        <v>388</v>
      </c>
    </row>
    <row r="14" spans="1:16" x14ac:dyDescent="0.25">
      <c r="A14" s="20" t="s">
        <v>46</v>
      </c>
      <c r="B14" s="20"/>
      <c r="C14" s="20"/>
      <c r="D14" s="111"/>
      <c r="E14" s="20"/>
      <c r="F14" s="111"/>
      <c r="G14" s="20"/>
      <c r="H14" s="20"/>
      <c r="I14" s="20"/>
      <c r="J14" s="20"/>
      <c r="K14" s="20"/>
      <c r="L14" s="20"/>
      <c r="M14" s="68"/>
      <c r="N14" s="22"/>
    </row>
    <row r="15" spans="1:16" s="85" customFormat="1" x14ac:dyDescent="0.25">
      <c r="A15" s="45" t="s">
        <v>54</v>
      </c>
      <c r="B15" s="97">
        <f>5/'Conversion factors'!F36*1000</f>
        <v>150.05001667222407</v>
      </c>
      <c r="C15" s="45" t="s">
        <v>156</v>
      </c>
      <c r="D15" s="177"/>
      <c r="E15" s="45"/>
      <c r="F15" s="177">
        <f>B15*2%</f>
        <v>3.0010003334444817</v>
      </c>
      <c r="G15" s="45" t="s">
        <v>284</v>
      </c>
      <c r="H15" s="45">
        <v>0</v>
      </c>
      <c r="I15" s="45" t="s">
        <v>404</v>
      </c>
      <c r="J15" s="45">
        <v>9</v>
      </c>
      <c r="K15" s="45"/>
      <c r="L15" s="45"/>
      <c r="M15" s="46" t="s">
        <v>120</v>
      </c>
      <c r="N15" s="84"/>
    </row>
    <row r="16" spans="1:16" s="85" customFormat="1" x14ac:dyDescent="0.25">
      <c r="A16" s="53" t="s">
        <v>149</v>
      </c>
      <c r="B16" s="90">
        <f>375/1.57</f>
        <v>238.85350318471336</v>
      </c>
      <c r="C16" s="53" t="s">
        <v>156</v>
      </c>
      <c r="D16" s="177"/>
      <c r="E16" s="53"/>
      <c r="F16" s="177">
        <f>2.5/375*100</f>
        <v>0.66666666666666674</v>
      </c>
      <c r="G16" s="53" t="s">
        <v>284</v>
      </c>
      <c r="H16" s="90">
        <v>0</v>
      </c>
      <c r="I16" s="53" t="s">
        <v>404</v>
      </c>
      <c r="J16" s="53">
        <v>9</v>
      </c>
      <c r="K16" s="53"/>
      <c r="L16" s="53"/>
      <c r="M16" s="54" t="s">
        <v>155</v>
      </c>
      <c r="N16" s="86" t="s">
        <v>119</v>
      </c>
    </row>
    <row r="17" spans="1:14" s="85" customFormat="1" x14ac:dyDescent="0.25">
      <c r="A17" s="53"/>
      <c r="B17" s="90">
        <f>500/1.57</f>
        <v>318.4713375796178</v>
      </c>
      <c r="C17" s="53" t="s">
        <v>156</v>
      </c>
      <c r="D17" s="177"/>
      <c r="E17" s="53"/>
      <c r="F17" s="177">
        <f>2.5/500*100</f>
        <v>0.5</v>
      </c>
      <c r="G17" s="53" t="s">
        <v>284</v>
      </c>
      <c r="H17" s="90">
        <v>0</v>
      </c>
      <c r="I17" s="53" t="s">
        <v>404</v>
      </c>
      <c r="J17" s="53">
        <v>9</v>
      </c>
      <c r="K17" s="53"/>
      <c r="L17" s="53"/>
      <c r="M17" s="54" t="s">
        <v>155</v>
      </c>
      <c r="N17" s="86"/>
    </row>
    <row r="18" spans="1:14" s="85" customFormat="1" x14ac:dyDescent="0.25">
      <c r="A18" s="53" t="s">
        <v>56</v>
      </c>
      <c r="B18" s="90">
        <f>35000000/50000/1.57</f>
        <v>445.85987261146494</v>
      </c>
      <c r="C18" s="53" t="s">
        <v>156</v>
      </c>
      <c r="D18" s="177"/>
      <c r="E18" s="53"/>
      <c r="F18" s="177">
        <v>2</v>
      </c>
      <c r="G18" s="53" t="s">
        <v>284</v>
      </c>
      <c r="H18" s="90">
        <v>0</v>
      </c>
      <c r="I18" s="53" t="s">
        <v>404</v>
      </c>
      <c r="J18" s="53">
        <v>9</v>
      </c>
      <c r="K18" s="53"/>
      <c r="L18" s="53"/>
      <c r="M18" s="51" t="s">
        <v>174</v>
      </c>
      <c r="N18" s="52" t="s">
        <v>173</v>
      </c>
    </row>
    <row r="19" spans="1:14" s="85" customFormat="1" x14ac:dyDescent="0.25">
      <c r="A19" s="53"/>
      <c r="B19" s="90"/>
      <c r="C19" s="53"/>
      <c r="D19" s="177"/>
      <c r="E19" s="53"/>
      <c r="F19" s="91"/>
      <c r="G19" s="53"/>
      <c r="H19" s="53"/>
      <c r="I19" s="53"/>
      <c r="J19" s="53"/>
      <c r="K19" s="53"/>
      <c r="L19" s="53"/>
      <c r="M19" s="51"/>
      <c r="N19" s="86"/>
    </row>
    <row r="20" spans="1:14" s="85" customFormat="1" x14ac:dyDescent="0.25">
      <c r="A20" s="53"/>
      <c r="B20" s="90"/>
      <c r="C20" s="53"/>
      <c r="D20" s="91"/>
      <c r="E20" s="53"/>
      <c r="F20" s="91"/>
      <c r="G20" s="53"/>
      <c r="H20" s="53"/>
      <c r="I20" s="53"/>
      <c r="J20" s="53"/>
      <c r="K20" s="53"/>
      <c r="L20" s="53"/>
      <c r="M20" s="54"/>
      <c r="N20" s="86"/>
    </row>
    <row r="21" spans="1:14" s="85" customFormat="1" x14ac:dyDescent="0.25">
      <c r="A21" s="53"/>
      <c r="B21" s="53"/>
      <c r="C21" s="53"/>
      <c r="D21" s="91"/>
      <c r="E21" s="53"/>
      <c r="F21" s="91"/>
      <c r="G21" s="53"/>
      <c r="H21" s="53"/>
      <c r="I21" s="53"/>
      <c r="J21" s="53"/>
      <c r="K21" s="53"/>
      <c r="L21" s="53"/>
      <c r="M21" s="54"/>
      <c r="N21" s="88"/>
    </row>
    <row r="22" spans="1:14" s="85" customFormat="1" x14ac:dyDescent="0.25">
      <c r="A22" s="47"/>
      <c r="B22" s="47"/>
      <c r="C22" s="47"/>
      <c r="D22" s="178"/>
      <c r="E22" s="47"/>
      <c r="F22" s="178"/>
      <c r="G22" s="47"/>
      <c r="H22" s="47"/>
      <c r="I22" s="47"/>
      <c r="J22" s="47"/>
      <c r="K22" s="47"/>
      <c r="L22" s="47"/>
      <c r="M22" s="83"/>
      <c r="N22" s="87"/>
    </row>
    <row r="23" spans="1:14" x14ac:dyDescent="0.25">
      <c r="A23" s="24" t="s">
        <v>47</v>
      </c>
      <c r="B23" s="20"/>
      <c r="C23" s="20"/>
      <c r="D23" s="111"/>
      <c r="E23" s="20"/>
      <c r="F23" s="111"/>
      <c r="G23" s="20"/>
      <c r="H23" s="20"/>
      <c r="I23" s="20"/>
      <c r="J23" s="20"/>
      <c r="K23" s="20"/>
      <c r="L23" s="20"/>
      <c r="M23" s="68"/>
      <c r="N23" s="22"/>
    </row>
    <row r="24" spans="1:14" s="85" customFormat="1" x14ac:dyDescent="0.25">
      <c r="A24" s="53" t="s">
        <v>149</v>
      </c>
      <c r="B24" s="90">
        <f>375/'Conversion factors'!$G$28</f>
        <v>75.21270151989826</v>
      </c>
      <c r="C24" s="53" t="s">
        <v>294</v>
      </c>
      <c r="D24" s="177"/>
      <c r="E24" s="53"/>
      <c r="F24" s="177">
        <f>2.5/375*100</f>
        <v>0.66666666666666674</v>
      </c>
      <c r="G24" s="53" t="s">
        <v>284</v>
      </c>
      <c r="H24" s="53">
        <v>0</v>
      </c>
      <c r="I24" s="53" t="s">
        <v>404</v>
      </c>
      <c r="J24" s="53">
        <v>9</v>
      </c>
      <c r="K24" s="53"/>
      <c r="L24" s="53"/>
      <c r="M24" s="51" t="s">
        <v>155</v>
      </c>
      <c r="N24" s="86"/>
    </row>
    <row r="25" spans="1:14" s="85" customFormat="1" x14ac:dyDescent="0.25">
      <c r="A25" s="53" t="s">
        <v>56</v>
      </c>
      <c r="B25" s="90">
        <f>500/'Conversion factors'!$G$28</f>
        <v>100.28360202653101</v>
      </c>
      <c r="C25" s="53" t="s">
        <v>294</v>
      </c>
      <c r="D25" s="177"/>
      <c r="E25" s="53"/>
      <c r="F25" s="177">
        <f>2.5/500*100</f>
        <v>0.5</v>
      </c>
      <c r="G25" s="53" t="s">
        <v>284</v>
      </c>
      <c r="H25" s="53">
        <v>0</v>
      </c>
      <c r="I25" s="53" t="s">
        <v>404</v>
      </c>
      <c r="J25" s="53">
        <v>9</v>
      </c>
      <c r="K25" s="53"/>
      <c r="L25" s="53"/>
      <c r="M25" s="54" t="s">
        <v>155</v>
      </c>
      <c r="N25" s="86"/>
    </row>
    <row r="26" spans="1:14" s="5" customFormat="1" x14ac:dyDescent="0.25">
      <c r="A26" s="89"/>
      <c r="B26" s="56"/>
      <c r="C26" s="56"/>
      <c r="D26" s="112"/>
      <c r="E26" s="56"/>
      <c r="F26" s="112"/>
      <c r="G26" s="56"/>
      <c r="H26" s="56"/>
      <c r="I26" s="56"/>
      <c r="J26" s="56"/>
      <c r="K26" s="56"/>
      <c r="L26" s="56"/>
      <c r="M26" s="54"/>
      <c r="N26" s="55"/>
    </row>
    <row r="27" spans="1:14" s="5" customFormat="1" x14ac:dyDescent="0.25">
      <c r="A27" s="89"/>
      <c r="B27" s="56"/>
      <c r="C27" s="56"/>
      <c r="D27" s="112"/>
      <c r="E27" s="56"/>
      <c r="F27" s="112"/>
      <c r="G27" s="56"/>
      <c r="H27" s="56"/>
      <c r="I27" s="56"/>
      <c r="J27" s="56"/>
      <c r="K27" s="56"/>
      <c r="L27" s="56"/>
      <c r="M27" s="54"/>
      <c r="N27" s="55"/>
    </row>
    <row r="28" spans="1:14" x14ac:dyDescent="0.25">
      <c r="A28" s="24" t="s">
        <v>364</v>
      </c>
      <c r="B28" s="20"/>
      <c r="C28" s="20"/>
      <c r="D28" s="111"/>
      <c r="E28" s="20"/>
      <c r="F28" s="111"/>
      <c r="G28" s="20"/>
      <c r="H28" s="20"/>
      <c r="I28" s="20"/>
      <c r="J28" s="20"/>
      <c r="K28" s="20"/>
      <c r="L28" s="20"/>
      <c r="M28" s="68"/>
      <c r="N28" s="22"/>
    </row>
    <row r="29" spans="1:14" s="85" customFormat="1" x14ac:dyDescent="0.25">
      <c r="A29" s="53" t="s">
        <v>56</v>
      </c>
      <c r="B29" s="90">
        <f>60000000/(34130000*'Conversion factors'!$F$37)*1000</f>
        <v>336.63526815492702</v>
      </c>
      <c r="C29" s="53" t="s">
        <v>365</v>
      </c>
      <c r="D29" s="274">
        <f>0.01/'Conversion factors'!$F$37</f>
        <v>1.9148936170212765E-3</v>
      </c>
      <c r="E29" s="53" t="s">
        <v>366</v>
      </c>
      <c r="F29" s="177">
        <v>2</v>
      </c>
      <c r="G29" s="53" t="s">
        <v>284</v>
      </c>
      <c r="H29" s="53">
        <v>0.03</v>
      </c>
      <c r="I29" s="53" t="s">
        <v>296</v>
      </c>
      <c r="J29" s="53"/>
      <c r="K29" s="53">
        <v>2019</v>
      </c>
      <c r="L29" s="53"/>
      <c r="M29" s="51" t="s">
        <v>362</v>
      </c>
      <c r="N29" s="86"/>
    </row>
    <row r="30" spans="1:14" s="85" customFormat="1" x14ac:dyDescent="0.25">
      <c r="A30" s="53" t="s">
        <v>54</v>
      </c>
      <c r="B30" s="90">
        <f>20000000*USDEUR/156666.7</f>
        <v>114.89359257583136</v>
      </c>
      <c r="C30" s="53" t="s">
        <v>365</v>
      </c>
      <c r="D30" s="274">
        <f>0.39/'Conversion factors'!$F$37</f>
        <v>7.4680851063829795E-2</v>
      </c>
      <c r="E30" s="53" t="s">
        <v>366</v>
      </c>
      <c r="F30" s="177"/>
      <c r="G30" s="53"/>
      <c r="H30" s="53">
        <v>0.1</v>
      </c>
      <c r="I30" s="53" t="s">
        <v>296</v>
      </c>
      <c r="J30" s="53"/>
      <c r="K30" s="53">
        <v>2008</v>
      </c>
      <c r="L30" s="53"/>
      <c r="M30" s="54" t="s">
        <v>367</v>
      </c>
      <c r="N30" s="86" t="s">
        <v>368</v>
      </c>
    </row>
    <row r="31" spans="1:14" s="5" customFormat="1" x14ac:dyDescent="0.25">
      <c r="A31" s="89"/>
      <c r="B31" s="56"/>
      <c r="C31" s="56"/>
      <c r="D31" s="112"/>
      <c r="E31" s="56"/>
      <c r="F31" s="112"/>
      <c r="G31" s="56"/>
      <c r="H31" s="56"/>
      <c r="I31" s="56"/>
      <c r="J31" s="56"/>
      <c r="K31" s="56"/>
      <c r="L31" s="56"/>
      <c r="M31" s="54"/>
      <c r="N31" s="55"/>
    </row>
    <row r="32" spans="1:14" s="5" customFormat="1" x14ac:dyDescent="0.25">
      <c r="A32" s="89"/>
      <c r="B32" s="56"/>
      <c r="C32" s="56"/>
      <c r="D32" s="112"/>
      <c r="E32" s="56"/>
      <c r="F32" s="112"/>
      <c r="G32" s="56"/>
      <c r="H32" s="56"/>
      <c r="I32" s="56"/>
      <c r="J32" s="56"/>
      <c r="K32" s="56"/>
      <c r="L32" s="56"/>
      <c r="M32" s="54"/>
      <c r="N32" s="55"/>
    </row>
    <row r="41" spans="13:13" x14ac:dyDescent="0.25">
      <c r="M41"/>
    </row>
    <row r="42" spans="13:13" x14ac:dyDescent="0.25">
      <c r="M42"/>
    </row>
    <row r="43" spans="13:13" x14ac:dyDescent="0.25">
      <c r="M43"/>
    </row>
    <row r="44" spans="13:13" x14ac:dyDescent="0.25">
      <c r="M44"/>
    </row>
    <row r="45" spans="13:13" x14ac:dyDescent="0.25">
      <c r="M45"/>
    </row>
    <row r="46" spans="13:13" x14ac:dyDescent="0.25">
      <c r="M46"/>
    </row>
    <row r="47" spans="13:13" x14ac:dyDescent="0.25">
      <c r="M47"/>
    </row>
    <row r="48" spans="13:13" ht="15" customHeight="1" x14ac:dyDescent="0.25">
      <c r="M48"/>
    </row>
    <row r="49" spans="13:13" x14ac:dyDescent="0.25">
      <c r="M49"/>
    </row>
    <row r="50" spans="13:13" x14ac:dyDescent="0.25">
      <c r="M50"/>
    </row>
  </sheetData>
  <dataConsolidate/>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A5BC0-C622-440A-AF39-6D7B638259DF}">
  <dimension ref="A3:Q38"/>
  <sheetViews>
    <sheetView showGridLines="0" zoomScale="70" zoomScaleNormal="70" workbookViewId="0">
      <pane ySplit="4" topLeftCell="A17" activePane="bottomLeft" state="frozen"/>
      <selection pane="bottomLeft" activeCell="A3" sqref="A3"/>
    </sheetView>
  </sheetViews>
  <sheetFormatPr defaultColWidth="0" defaultRowHeight="15" x14ac:dyDescent="0.25"/>
  <cols>
    <col min="1" max="1" width="63.140625" customWidth="1"/>
    <col min="2" max="2" width="13.85546875" bestFit="1" customWidth="1"/>
    <col min="3" max="3" width="10.42578125" bestFit="1" customWidth="1"/>
    <col min="4" max="4" width="20.28515625" style="148" customWidth="1"/>
    <col min="5" max="5" width="15.28515625" customWidth="1"/>
    <col min="6" max="6" width="15.28515625" style="148" customWidth="1"/>
    <col min="7" max="7" width="20.85546875" customWidth="1"/>
    <col min="8" max="8" width="11.42578125" customWidth="1"/>
    <col min="9" max="11" width="9.140625" customWidth="1"/>
    <col min="12" max="12" width="21.5703125" customWidth="1"/>
    <col min="13" max="13" width="14" style="65" customWidth="1"/>
    <col min="14" max="14" width="63.5703125" customWidth="1"/>
    <col min="15" max="15" width="9.140625" style="8" customWidth="1"/>
    <col min="16" max="16" width="11" style="8" bestFit="1" customWidth="1"/>
    <col min="17" max="17" width="9.140625" style="8" customWidth="1"/>
    <col min="18" max="16384" width="9.140625" style="8" hidden="1"/>
  </cols>
  <sheetData>
    <row r="3" spans="1:16" x14ac:dyDescent="0.25">
      <c r="A3" s="8"/>
    </row>
    <row r="4" spans="1:16" ht="30.75" thickBot="1" x14ac:dyDescent="0.3">
      <c r="A4" s="6" t="s">
        <v>23</v>
      </c>
      <c r="B4" s="2" t="s">
        <v>25</v>
      </c>
      <c r="C4" s="4" t="s">
        <v>31</v>
      </c>
      <c r="D4" s="173" t="s">
        <v>108</v>
      </c>
      <c r="E4" s="4" t="s">
        <v>31</v>
      </c>
      <c r="F4" s="173" t="s">
        <v>109</v>
      </c>
      <c r="G4" s="4" t="s">
        <v>31</v>
      </c>
      <c r="H4" s="322" t="s">
        <v>403</v>
      </c>
      <c r="I4" s="4" t="s">
        <v>31</v>
      </c>
      <c r="J4" s="2" t="s">
        <v>29</v>
      </c>
      <c r="K4" s="4" t="s">
        <v>32</v>
      </c>
      <c r="L4" s="2" t="s">
        <v>30</v>
      </c>
      <c r="M4" s="66" t="s">
        <v>27</v>
      </c>
      <c r="N4" s="11" t="s">
        <v>26</v>
      </c>
    </row>
    <row r="5" spans="1:16" x14ac:dyDescent="0.25">
      <c r="A5" s="16" t="s">
        <v>48</v>
      </c>
      <c r="B5" s="17"/>
      <c r="C5" s="17"/>
      <c r="D5" s="174"/>
      <c r="E5" s="17"/>
      <c r="F5" s="174"/>
      <c r="G5" s="17"/>
      <c r="H5" s="17"/>
      <c r="I5" s="17"/>
      <c r="J5" s="17"/>
      <c r="K5" s="17"/>
      <c r="L5" s="17"/>
      <c r="M5" s="67" t="s">
        <v>28</v>
      </c>
      <c r="N5" s="19" t="s">
        <v>42</v>
      </c>
    </row>
    <row r="6" spans="1:16" x14ac:dyDescent="0.25">
      <c r="A6" s="15" t="s">
        <v>54</v>
      </c>
      <c r="B6" s="93">
        <f>USDEUR*300*3.6</f>
        <v>972</v>
      </c>
      <c r="C6" s="14" t="s">
        <v>158</v>
      </c>
      <c r="D6" s="105"/>
      <c r="E6" s="14"/>
      <c r="F6" s="105"/>
      <c r="G6" s="82"/>
      <c r="H6" s="14"/>
      <c r="I6" s="14"/>
      <c r="J6" s="14"/>
      <c r="K6" s="14"/>
      <c r="L6" s="14"/>
      <c r="M6" s="40" t="s">
        <v>78</v>
      </c>
      <c r="N6" s="13" t="s">
        <v>77</v>
      </c>
    </row>
    <row r="7" spans="1:16" x14ac:dyDescent="0.25">
      <c r="A7" s="49" t="s">
        <v>55</v>
      </c>
      <c r="B7" s="76">
        <f>USDEUR*1250*3.6</f>
        <v>4050</v>
      </c>
      <c r="C7" s="50" t="s">
        <v>158</v>
      </c>
      <c r="D7" s="73"/>
      <c r="E7" s="50"/>
      <c r="F7" s="73"/>
      <c r="G7" s="50"/>
      <c r="H7" s="50"/>
      <c r="I7" s="50"/>
      <c r="J7" s="50"/>
      <c r="K7" s="50"/>
      <c r="L7" s="50"/>
      <c r="M7" s="51" t="s">
        <v>155</v>
      </c>
      <c r="N7" s="52" t="s">
        <v>75</v>
      </c>
      <c r="P7" s="99"/>
    </row>
    <row r="8" spans="1:16" x14ac:dyDescent="0.25">
      <c r="A8" s="49" t="s">
        <v>56</v>
      </c>
      <c r="B8" s="76">
        <f>USDEUR*2000*3.6</f>
        <v>6480</v>
      </c>
      <c r="C8" s="50" t="s">
        <v>158</v>
      </c>
      <c r="D8" s="73"/>
      <c r="E8" s="50"/>
      <c r="F8" s="73"/>
      <c r="G8" s="50"/>
      <c r="H8" s="50"/>
      <c r="I8" s="50"/>
      <c r="J8" s="50"/>
      <c r="K8" s="50"/>
      <c r="L8" s="50"/>
      <c r="M8" s="51" t="s">
        <v>155</v>
      </c>
      <c r="N8" s="52" t="s">
        <v>76</v>
      </c>
    </row>
    <row r="9" spans="1:16" ht="60" x14ac:dyDescent="0.25">
      <c r="A9" s="49" t="s">
        <v>54</v>
      </c>
      <c r="B9" s="76"/>
      <c r="C9" s="50"/>
      <c r="D9" s="73">
        <f>USDEUR*0.00014*3.6</f>
        <v>4.5360000000000002E-4</v>
      </c>
      <c r="E9" s="50" t="s">
        <v>295</v>
      </c>
      <c r="F9" s="73"/>
      <c r="G9" s="50"/>
      <c r="H9" s="50"/>
      <c r="I9" s="50"/>
      <c r="J9" s="50"/>
      <c r="K9" s="50"/>
      <c r="L9" s="50"/>
      <c r="M9" s="51" t="s">
        <v>155</v>
      </c>
      <c r="N9" s="52" t="s">
        <v>79</v>
      </c>
    </row>
    <row r="10" spans="1:16" ht="60" x14ac:dyDescent="0.25">
      <c r="A10" s="49" t="s">
        <v>55</v>
      </c>
      <c r="B10" s="76"/>
      <c r="C10" s="50"/>
      <c r="D10" s="73">
        <f>USDEUR*0.0024*3.6</f>
        <v>7.7759999999999999E-3</v>
      </c>
      <c r="E10" s="50" t="s">
        <v>295</v>
      </c>
      <c r="F10" s="73"/>
      <c r="G10" s="50"/>
      <c r="H10" s="50"/>
      <c r="I10" s="50"/>
      <c r="J10" s="50"/>
      <c r="K10" s="50"/>
      <c r="L10" s="50"/>
      <c r="M10" s="51" t="s">
        <v>155</v>
      </c>
      <c r="N10" s="52" t="s">
        <v>80</v>
      </c>
    </row>
    <row r="11" spans="1:16" ht="60" x14ac:dyDescent="0.25">
      <c r="A11" s="49" t="s">
        <v>56</v>
      </c>
      <c r="B11" s="76"/>
      <c r="C11" s="50"/>
      <c r="D11" s="73">
        <f>USDEUR*0.0043*3.6</f>
        <v>1.3932000000000002E-2</v>
      </c>
      <c r="E11" s="50" t="s">
        <v>295</v>
      </c>
      <c r="F11" s="73"/>
      <c r="G11" s="50"/>
      <c r="H11" s="50"/>
      <c r="I11" s="50"/>
      <c r="J11" s="50"/>
      <c r="K11" s="50"/>
      <c r="L11" s="50"/>
      <c r="M11" s="51" t="s">
        <v>155</v>
      </c>
      <c r="N11" s="52" t="s">
        <v>81</v>
      </c>
    </row>
    <row r="12" spans="1:16" ht="30" x14ac:dyDescent="0.25">
      <c r="A12" s="49" t="s">
        <v>54</v>
      </c>
      <c r="B12" s="76"/>
      <c r="C12" s="50"/>
      <c r="D12" s="73"/>
      <c r="E12" s="50"/>
      <c r="F12" s="73"/>
      <c r="G12" s="50"/>
      <c r="H12" s="72">
        <v>0.1</v>
      </c>
      <c r="I12" s="50" t="s">
        <v>296</v>
      </c>
      <c r="J12" s="50"/>
      <c r="K12" s="50"/>
      <c r="L12" s="50"/>
      <c r="M12" s="51" t="s">
        <v>155</v>
      </c>
      <c r="N12" s="52" t="s">
        <v>345</v>
      </c>
    </row>
    <row r="13" spans="1:16" ht="30" x14ac:dyDescent="0.25">
      <c r="A13" s="49" t="s">
        <v>55</v>
      </c>
      <c r="B13" s="76"/>
      <c r="C13" s="50"/>
      <c r="D13" s="73"/>
      <c r="E13" s="50"/>
      <c r="F13" s="73"/>
      <c r="G13" s="50"/>
      <c r="H13" s="50">
        <v>0.2</v>
      </c>
      <c r="I13" s="50" t="s">
        <v>296</v>
      </c>
      <c r="J13" s="50"/>
      <c r="K13" s="50"/>
      <c r="L13" s="50"/>
      <c r="M13" s="51" t="s">
        <v>155</v>
      </c>
      <c r="N13" s="52" t="s">
        <v>344</v>
      </c>
    </row>
    <row r="14" spans="1:16" ht="30" x14ac:dyDescent="0.25">
      <c r="A14" s="49" t="s">
        <v>56</v>
      </c>
      <c r="B14" s="76"/>
      <c r="C14" s="50"/>
      <c r="D14" s="73"/>
      <c r="E14" s="50"/>
      <c r="F14" s="73"/>
      <c r="G14" s="50"/>
      <c r="H14" s="50">
        <v>0.4</v>
      </c>
      <c r="I14" s="50" t="s">
        <v>296</v>
      </c>
      <c r="J14" s="50"/>
      <c r="K14" s="50"/>
      <c r="L14" s="50"/>
      <c r="M14" s="51" t="s">
        <v>155</v>
      </c>
      <c r="N14" s="52" t="s">
        <v>346</v>
      </c>
    </row>
    <row r="15" spans="1:16" x14ac:dyDescent="0.25">
      <c r="A15" s="49"/>
      <c r="B15" s="76"/>
      <c r="C15" s="50"/>
      <c r="D15" s="73"/>
      <c r="E15" s="50"/>
      <c r="F15" s="73"/>
      <c r="G15" s="50"/>
      <c r="H15" s="50"/>
      <c r="I15" s="50"/>
      <c r="J15" s="50">
        <v>5</v>
      </c>
      <c r="K15" s="50">
        <v>2019</v>
      </c>
      <c r="L15" s="50"/>
      <c r="M15" s="51" t="s">
        <v>155</v>
      </c>
      <c r="N15" s="52"/>
    </row>
    <row r="16" spans="1:16" ht="30" x14ac:dyDescent="0.25">
      <c r="A16" s="15"/>
      <c r="B16" s="93">
        <f>(2500000000*5)/(160000*'Conversion factors'!D47*'Conversion factors'!C14/1000)*NOKEUR*3.6</f>
        <v>3301.0563380281696</v>
      </c>
      <c r="C16" s="82" t="s">
        <v>158</v>
      </c>
      <c r="D16" s="105"/>
      <c r="E16" s="82"/>
      <c r="F16" s="105">
        <v>2.5</v>
      </c>
      <c r="G16" s="82" t="s">
        <v>284</v>
      </c>
      <c r="H16" s="82"/>
      <c r="I16" s="82"/>
      <c r="J16" s="82"/>
      <c r="K16" s="82"/>
      <c r="L16" s="82"/>
      <c r="M16" s="40" t="s">
        <v>65</v>
      </c>
      <c r="N16" s="13" t="s">
        <v>281</v>
      </c>
    </row>
    <row r="17" spans="1:14" s="29" customFormat="1" x14ac:dyDescent="0.25">
      <c r="A17" s="20" t="s">
        <v>49</v>
      </c>
      <c r="B17" s="168"/>
      <c r="C17" s="20"/>
      <c r="D17" s="111"/>
      <c r="E17" s="20"/>
      <c r="F17" s="111"/>
      <c r="G17" s="20"/>
      <c r="H17" s="20"/>
      <c r="I17" s="20"/>
      <c r="J17" s="20"/>
      <c r="K17" s="20"/>
      <c r="L17" s="20"/>
      <c r="M17" s="68"/>
      <c r="N17" s="22"/>
    </row>
    <row r="18" spans="1:14" s="37" customFormat="1" ht="45" x14ac:dyDescent="0.25">
      <c r="A18" s="15" t="s">
        <v>54</v>
      </c>
      <c r="B18" s="43">
        <f>USDEUR*105*3.6</f>
        <v>340.2</v>
      </c>
      <c r="C18" s="33" t="s">
        <v>158</v>
      </c>
      <c r="D18" s="116">
        <f>USDEUR*0.00032*3.6</f>
        <v>1.0368E-3</v>
      </c>
      <c r="E18" s="33" t="s">
        <v>295</v>
      </c>
      <c r="F18" s="116"/>
      <c r="G18" s="33"/>
      <c r="H18" s="33">
        <f>0.0017</f>
        <v>1.6999999999999999E-3</v>
      </c>
      <c r="I18" s="323" t="s">
        <v>406</v>
      </c>
      <c r="J18" s="33">
        <v>9</v>
      </c>
      <c r="K18" s="33">
        <v>2019</v>
      </c>
      <c r="L18" s="33"/>
      <c r="M18" s="46" t="s">
        <v>58</v>
      </c>
      <c r="N18" s="35" t="s">
        <v>62</v>
      </c>
    </row>
    <row r="19" spans="1:14" s="37" customFormat="1" x14ac:dyDescent="0.25">
      <c r="A19" s="49" t="s">
        <v>55</v>
      </c>
      <c r="B19" s="57">
        <f>USDEUR*140*3.6</f>
        <v>453.6</v>
      </c>
      <c r="C19" s="56" t="s">
        <v>158</v>
      </c>
      <c r="D19" s="112">
        <f>USDEUR*0.00038*3.6</f>
        <v>1.2312E-3</v>
      </c>
      <c r="E19" s="56" t="s">
        <v>295</v>
      </c>
      <c r="F19" s="112"/>
      <c r="G19" s="56"/>
      <c r="H19" s="56">
        <f>0.0023</f>
        <v>2.3E-3</v>
      </c>
      <c r="I19" s="53" t="s">
        <v>406</v>
      </c>
      <c r="J19" s="56">
        <v>9</v>
      </c>
      <c r="K19" s="56">
        <v>2019</v>
      </c>
      <c r="L19" s="56"/>
      <c r="M19" s="54"/>
      <c r="N19" s="55" t="s">
        <v>63</v>
      </c>
    </row>
    <row r="20" spans="1:14" s="37" customFormat="1" x14ac:dyDescent="0.25">
      <c r="A20" s="49" t="s">
        <v>56</v>
      </c>
      <c r="B20" s="57">
        <f>USDEUR*175*3.6</f>
        <v>567</v>
      </c>
      <c r="C20" s="56" t="s">
        <v>158</v>
      </c>
      <c r="D20" s="112">
        <f>USDEUR*0.00044*3.6</f>
        <v>1.4256000000000002E-3</v>
      </c>
      <c r="E20" s="56" t="s">
        <v>295</v>
      </c>
      <c r="F20" s="112"/>
      <c r="G20" s="56"/>
      <c r="H20" s="56">
        <f>0.0029</f>
        <v>2.8999999999999998E-3</v>
      </c>
      <c r="I20" s="53" t="s">
        <v>406</v>
      </c>
      <c r="J20" s="56">
        <v>9</v>
      </c>
      <c r="K20" s="56">
        <v>2019</v>
      </c>
      <c r="L20" s="56"/>
      <c r="M20" s="54"/>
      <c r="N20" s="55"/>
    </row>
    <row r="21" spans="1:14" s="37" customFormat="1" ht="30" x14ac:dyDescent="0.25">
      <c r="A21" s="56"/>
      <c r="B21" s="57">
        <f>(800000000*7)/(160000*57*'Conversion factors'!C14/1000)*NOKEUR*3.6</f>
        <v>1842.1052631578948</v>
      </c>
      <c r="C21" s="56" t="s">
        <v>158</v>
      </c>
      <c r="D21" s="112"/>
      <c r="E21" s="56"/>
      <c r="F21" s="112">
        <v>2.5</v>
      </c>
      <c r="G21" s="56" t="s">
        <v>284</v>
      </c>
      <c r="H21" s="56"/>
      <c r="I21" s="56"/>
      <c r="J21" s="56"/>
      <c r="K21" s="56"/>
      <c r="L21" s="56"/>
      <c r="M21" s="54" t="s">
        <v>65</v>
      </c>
      <c r="N21" s="55" t="s">
        <v>126</v>
      </c>
    </row>
    <row r="22" spans="1:14" s="37" customFormat="1" x14ac:dyDescent="0.25">
      <c r="A22" s="38"/>
      <c r="B22" s="169"/>
      <c r="C22" s="38"/>
      <c r="D22" s="175"/>
      <c r="E22" s="38"/>
      <c r="F22" s="175"/>
      <c r="G22" s="38"/>
      <c r="H22" s="38"/>
      <c r="I22" s="38"/>
      <c r="J22" s="38"/>
      <c r="K22" s="38"/>
      <c r="L22" s="38"/>
      <c r="M22" s="83"/>
      <c r="N22" s="39"/>
    </row>
    <row r="23" spans="1:14" s="29" customFormat="1" x14ac:dyDescent="0.25">
      <c r="A23" s="24" t="s">
        <v>50</v>
      </c>
      <c r="B23" s="168"/>
      <c r="C23" s="20"/>
      <c r="D23" s="111"/>
      <c r="E23" s="20"/>
      <c r="F23" s="111"/>
      <c r="G23" s="20"/>
      <c r="H23" s="20"/>
      <c r="I23" s="20"/>
      <c r="J23" s="20"/>
      <c r="K23" s="20"/>
      <c r="L23" s="20"/>
      <c r="M23" s="68"/>
      <c r="N23" s="22"/>
    </row>
    <row r="24" spans="1:14" s="37" customFormat="1" ht="30" x14ac:dyDescent="0.25">
      <c r="A24" s="15"/>
      <c r="B24" s="43"/>
      <c r="C24" s="33"/>
      <c r="D24" s="116"/>
      <c r="E24" s="33"/>
      <c r="F24" s="116"/>
      <c r="G24" s="33"/>
      <c r="H24" s="33">
        <v>0</v>
      </c>
      <c r="I24" s="33" t="s">
        <v>404</v>
      </c>
      <c r="J24" s="33">
        <v>9</v>
      </c>
      <c r="K24" s="33">
        <v>2019</v>
      </c>
      <c r="L24" s="33"/>
      <c r="M24" s="46"/>
      <c r="N24" s="35" t="s">
        <v>64</v>
      </c>
    </row>
    <row r="25" spans="1:14" s="37" customFormat="1" ht="45" x14ac:dyDescent="0.25">
      <c r="A25" s="49" t="s">
        <v>54</v>
      </c>
      <c r="B25" s="57">
        <f>USDEUR*62*3.6</f>
        <v>200.88000000000002</v>
      </c>
      <c r="C25" s="56" t="s">
        <v>158</v>
      </c>
      <c r="D25" s="112"/>
      <c r="E25" s="56"/>
      <c r="F25" s="112"/>
      <c r="G25" s="56"/>
      <c r="H25" s="56"/>
      <c r="I25" s="56"/>
      <c r="J25" s="56"/>
      <c r="K25" s="56"/>
      <c r="L25" s="56"/>
      <c r="M25" s="54" t="s">
        <v>155</v>
      </c>
      <c r="N25" s="55" t="s">
        <v>243</v>
      </c>
    </row>
    <row r="26" spans="1:14" s="37" customFormat="1" ht="45" x14ac:dyDescent="0.25">
      <c r="A26" s="49" t="s">
        <v>55</v>
      </c>
      <c r="B26" s="57">
        <f>USDEUR*82*3.6</f>
        <v>265.68</v>
      </c>
      <c r="C26" s="56" t="s">
        <v>158</v>
      </c>
      <c r="D26" s="112"/>
      <c r="E26" s="56"/>
      <c r="F26" s="112"/>
      <c r="G26" s="56"/>
      <c r="H26" s="56"/>
      <c r="I26" s="56"/>
      <c r="J26" s="56"/>
      <c r="K26" s="56"/>
      <c r="L26" s="56"/>
      <c r="M26" s="54" t="s">
        <v>155</v>
      </c>
      <c r="N26" s="55" t="s">
        <v>244</v>
      </c>
    </row>
    <row r="27" spans="1:14" s="37" customFormat="1" ht="45" x14ac:dyDescent="0.25">
      <c r="A27" s="49" t="s">
        <v>56</v>
      </c>
      <c r="B27" s="57">
        <f>USDEUR*103*3.6</f>
        <v>333.72</v>
      </c>
      <c r="C27" s="56" t="s">
        <v>158</v>
      </c>
      <c r="D27" s="112"/>
      <c r="E27" s="56"/>
      <c r="F27" s="112"/>
      <c r="G27" s="56"/>
      <c r="H27" s="56"/>
      <c r="I27" s="56"/>
      <c r="J27" s="56"/>
      <c r="K27" s="56"/>
      <c r="L27" s="56"/>
      <c r="M27" s="54" t="s">
        <v>155</v>
      </c>
      <c r="N27" s="55" t="s">
        <v>245</v>
      </c>
    </row>
    <row r="28" spans="1:14" s="37" customFormat="1" x14ac:dyDescent="0.25">
      <c r="A28" s="49" t="s">
        <v>54</v>
      </c>
      <c r="B28" s="57"/>
      <c r="C28" s="56"/>
      <c r="D28" s="112">
        <f>USDEUR*0.00022*3.6</f>
        <v>7.1280000000000009E-4</v>
      </c>
      <c r="E28" s="56" t="s">
        <v>295</v>
      </c>
      <c r="F28" s="112"/>
      <c r="G28" s="56"/>
      <c r="H28" s="56"/>
      <c r="I28" s="56"/>
      <c r="J28" s="56"/>
      <c r="K28" s="56"/>
      <c r="L28" s="56"/>
      <c r="M28" s="54" t="s">
        <v>155</v>
      </c>
      <c r="N28" s="55" t="s">
        <v>83</v>
      </c>
    </row>
    <row r="29" spans="1:14" s="37" customFormat="1" ht="120" x14ac:dyDescent="0.25">
      <c r="A29" s="49" t="s">
        <v>55</v>
      </c>
      <c r="B29" s="57"/>
      <c r="C29" s="56"/>
      <c r="D29" s="112">
        <f>USDEUR*0.00031*3.6</f>
        <v>1.0044000000000001E-3</v>
      </c>
      <c r="E29" s="56" t="s">
        <v>295</v>
      </c>
      <c r="F29" s="112"/>
      <c r="G29" s="56"/>
      <c r="H29" s="56"/>
      <c r="I29" s="56"/>
      <c r="J29" s="56"/>
      <c r="K29" s="56"/>
      <c r="L29" s="56"/>
      <c r="M29" s="54" t="s">
        <v>155</v>
      </c>
      <c r="N29" s="55" t="s">
        <v>82</v>
      </c>
    </row>
    <row r="30" spans="1:14" s="37" customFormat="1" x14ac:dyDescent="0.25">
      <c r="A30" s="15" t="s">
        <v>56</v>
      </c>
      <c r="B30" s="96"/>
      <c r="C30" s="34"/>
      <c r="D30" s="113">
        <f>USDEUR*0.0004*3.6</f>
        <v>1.2960000000000001E-3</v>
      </c>
      <c r="E30" s="170" t="s">
        <v>295</v>
      </c>
      <c r="F30" s="113"/>
      <c r="G30" s="34"/>
      <c r="H30" s="34"/>
      <c r="I30" s="34"/>
      <c r="J30" s="34"/>
      <c r="K30" s="34"/>
      <c r="L30" s="34"/>
      <c r="M30" s="239" t="s">
        <v>155</v>
      </c>
      <c r="N30" s="36" t="s">
        <v>84</v>
      </c>
    </row>
    <row r="31" spans="1:14" s="29" customFormat="1" x14ac:dyDescent="0.25">
      <c r="A31" s="24" t="s">
        <v>361</v>
      </c>
      <c r="B31" s="168"/>
      <c r="C31" s="20"/>
      <c r="D31" s="111"/>
      <c r="E31" s="20"/>
      <c r="F31" s="111"/>
      <c r="G31" s="20"/>
      <c r="H31" s="20"/>
      <c r="I31" s="20"/>
      <c r="J31" s="20"/>
      <c r="K31" s="20"/>
      <c r="L31" s="20"/>
      <c r="M31" s="68"/>
      <c r="N31" s="22"/>
    </row>
    <row r="32" spans="1:14" s="37" customFormat="1" x14ac:dyDescent="0.25">
      <c r="A32" s="15" t="s">
        <v>55</v>
      </c>
      <c r="B32" s="43">
        <f>64000000/(44000*1000*'Conversion factors'!$F$37)*1000</f>
        <v>278.52998065764024</v>
      </c>
      <c r="C32" s="33" t="s">
        <v>158</v>
      </c>
      <c r="D32" s="116"/>
      <c r="E32" s="33"/>
      <c r="F32" s="273">
        <v>4</v>
      </c>
      <c r="G32" s="33" t="s">
        <v>284</v>
      </c>
      <c r="H32" s="33"/>
      <c r="I32" s="33"/>
      <c r="J32" s="272" t="s">
        <v>327</v>
      </c>
      <c r="K32" s="33">
        <v>2019</v>
      </c>
      <c r="L32" s="33"/>
      <c r="M32" s="46" t="s">
        <v>362</v>
      </c>
      <c r="N32" s="35"/>
    </row>
    <row r="33" spans="1:14" s="37" customFormat="1" ht="90" x14ac:dyDescent="0.25">
      <c r="A33" s="49" t="s">
        <v>54</v>
      </c>
      <c r="B33" s="57">
        <f>(900*USDEUR)/(1000*'Conversion factors'!$F$37)*1000</f>
        <v>155.10638297872339</v>
      </c>
      <c r="C33" s="56" t="s">
        <v>158</v>
      </c>
      <c r="D33" s="270">
        <f>(24.4*USDEUR)/(986000/3.6)</f>
        <v>8.0178498985801223E-5</v>
      </c>
      <c r="E33" s="56" t="s">
        <v>295</v>
      </c>
      <c r="F33" s="271">
        <v>4</v>
      </c>
      <c r="G33" s="56" t="s">
        <v>284</v>
      </c>
      <c r="H33" s="56">
        <v>0.08</v>
      </c>
      <c r="I33" s="56" t="s">
        <v>296</v>
      </c>
      <c r="J33" s="56"/>
      <c r="K33" s="56">
        <v>2020</v>
      </c>
      <c r="L33" s="56"/>
      <c r="M33" s="54" t="s">
        <v>155</v>
      </c>
      <c r="N33" s="55" t="s">
        <v>363</v>
      </c>
    </row>
    <row r="34" spans="1:14" x14ac:dyDescent="0.25">
      <c r="D34" s="176"/>
      <c r="E34" s="95"/>
    </row>
    <row r="37" spans="1:14" x14ac:dyDescent="0.25">
      <c r="B37" s="148"/>
      <c r="C37" s="148"/>
      <c r="E37" s="148"/>
    </row>
    <row r="38" spans="1:14" x14ac:dyDescent="0.25">
      <c r="B38" s="95"/>
      <c r="C38" s="95"/>
      <c r="D38" s="176"/>
      <c r="E38" s="95"/>
    </row>
  </sheetData>
  <dataConsolidate/>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9D72F1F92374484A423CB73EE5CC1" ma:contentTypeVersion="2" ma:contentTypeDescription="Create a new document." ma:contentTypeScope="" ma:versionID="6383e810181e40902f60f7a0d3983f80">
  <xsd:schema xmlns:xsd="http://www.w3.org/2001/XMLSchema" xmlns:xs="http://www.w3.org/2001/XMLSchema" xmlns:p="http://schemas.microsoft.com/office/2006/metadata/properties" xmlns:ns2="1c421c19-d46f-4f78-b046-390cee484052" targetNamespace="http://schemas.microsoft.com/office/2006/metadata/properties" ma:root="true" ma:fieldsID="5e6b09e2956728b70ceb0bc61993b8c6" ns2:_="">
    <xsd:import namespace="1c421c19-d46f-4f78-b046-390cee48405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21c19-d46f-4f78-b046-390cee4840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0DC15E-EA11-43E6-9A0D-4B4E1A9F3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21c19-d46f-4f78-b046-390cee484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F40B04-5C79-4DBB-9501-6C038D958C58}">
  <ds:schemaRefs>
    <ds:schemaRef ds:uri="http://purl.org/dc/elements/1.1/"/>
    <ds:schemaRef ds:uri="http://schemas.microsoft.com/office/2006/metadata/properties"/>
    <ds:schemaRef ds:uri="http://purl.org/dc/terms/"/>
    <ds:schemaRef ds:uri="http://schemas.openxmlformats.org/package/2006/metadata/core-properties"/>
    <ds:schemaRef ds:uri="1c421c19-d46f-4f78-b046-390cee484052"/>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2F79743-D413-477A-AF8F-426390021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Main</vt:lpstr>
      <vt:lpstr>Overview</vt:lpstr>
      <vt:lpstr>Conversion factors</vt:lpstr>
      <vt:lpstr>0. Energy Production</vt:lpstr>
      <vt:lpstr>1. Liquefaction</vt:lpstr>
      <vt:lpstr>2. Regasification</vt:lpstr>
      <vt:lpstr>3. Conversion</vt:lpstr>
      <vt:lpstr>4. Storage</vt:lpstr>
      <vt:lpstr>5. Shipping</vt:lpstr>
      <vt:lpstr>6. Transport</vt:lpstr>
      <vt:lpstr>7. CCUS</vt:lpstr>
      <vt:lpstr>GBPEUR</vt:lpstr>
      <vt:lpstr>GJ2MWh</vt:lpstr>
      <vt:lpstr>NOKEUR</vt:lpstr>
      <vt:lpstr>USDEUR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Douma, Jochum</dc:creator>
  <cp:lastModifiedBy>Vos, Maurice</cp:lastModifiedBy>
  <dcterms:created xsi:type="dcterms:W3CDTF">2020-06-02T14:06:57Z</dcterms:created>
  <dcterms:modified xsi:type="dcterms:W3CDTF">2020-09-09T18:09:25Z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0x0101006339D72F1F92374484A423CB73EE5CC1</vt:lpwstr>
  </property>
</Properties>
</file>